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Working\2025\Trinh dc 2025\In dc KH\Dieu chinh KH2125 hoan chinh ngay 24-7-2025\"/>
    </mc:Choice>
  </mc:AlternateContent>
  <bookViews>
    <workbookView xWindow="-120" yWindow="-120" windowWidth="20730" windowHeight="11160"/>
  </bookViews>
  <sheets>
    <sheet name="TH 2021-2025 (N,LV) 15,07 " sheetId="3" r:id="rId1"/>
  </sheets>
  <definedNames>
    <definedName name="_xlnm._FilterDatabase" localSheetId="0" hidden="1">'TH 2021-2025 (N,LV) 15,07 '!$A$10:$T$605</definedName>
    <definedName name="_xlnm.Print_Area" localSheetId="0">'TH 2021-2025 (N,LV) 15,07 '!$A$1:$T$1389</definedName>
    <definedName name="_xlnm.Print_Titles" localSheetId="0">'TH 2021-2025 (N,LV) 15,07 '!$6:$10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50" i="3" l="1"/>
  <c r="S985" i="3"/>
  <c r="S944" i="3"/>
  <c r="K1010" i="3"/>
  <c r="K1009" i="3"/>
  <c r="K1008" i="3"/>
  <c r="V1008" i="3" s="1"/>
  <c r="A908" i="3"/>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V1387" i="3"/>
  <c r="V1386" i="3"/>
  <c r="V1385" i="3"/>
  <c r="V1384" i="3"/>
  <c r="V1383" i="3"/>
  <c r="V1382" i="3"/>
  <c r="V1381" i="3"/>
  <c r="V1380" i="3"/>
  <c r="V1379" i="3"/>
  <c r="V1378" i="3"/>
  <c r="V1377" i="3"/>
  <c r="V1376" i="3"/>
  <c r="V1375" i="3"/>
  <c r="V1374" i="3"/>
  <c r="S1373" i="3"/>
  <c r="M1373" i="3"/>
  <c r="M1317" i="3" s="1"/>
  <c r="L1373" i="3"/>
  <c r="K1373" i="3"/>
  <c r="V1373" i="3" s="1"/>
  <c r="G1373" i="3"/>
  <c r="V1372" i="3"/>
  <c r="V1371" i="3"/>
  <c r="G1371" i="3"/>
  <c r="V1370" i="3"/>
  <c r="V1369" i="3"/>
  <c r="V1368" i="3"/>
  <c r="V1367" i="3"/>
  <c r="V1366" i="3"/>
  <c r="V1365" i="3"/>
  <c r="V1364" i="3"/>
  <c r="V1363" i="3"/>
  <c r="V1362" i="3"/>
  <c r="V1361" i="3"/>
  <c r="V1360" i="3"/>
  <c r="V1359" i="3"/>
  <c r="V1358" i="3"/>
  <c r="V1357" i="3"/>
  <c r="V1356" i="3"/>
  <c r="V1355" i="3"/>
  <c r="V1354" i="3"/>
  <c r="V1353" i="3"/>
  <c r="V1352" i="3"/>
  <c r="V1351" i="3"/>
  <c r="V1350" i="3"/>
  <c r="V1349" i="3"/>
  <c r="V1348" i="3"/>
  <c r="V1347" i="3"/>
  <c r="V1346" i="3"/>
  <c r="V1345" i="3"/>
  <c r="V1344" i="3"/>
  <c r="V1343" i="3"/>
  <c r="V1342" i="3"/>
  <c r="V1341" i="3"/>
  <c r="V1340" i="3"/>
  <c r="V1339" i="3"/>
  <c r="V1338" i="3"/>
  <c r="V1337" i="3"/>
  <c r="V1336" i="3"/>
  <c r="V1335" i="3"/>
  <c r="V1334" i="3"/>
  <c r="V1333" i="3"/>
  <c r="V1332" i="3"/>
  <c r="V1331" i="3"/>
  <c r="V1330" i="3"/>
  <c r="V1329" i="3"/>
  <c r="V1328" i="3"/>
  <c r="V1327" i="3"/>
  <c r="V1326" i="3"/>
  <c r="V1325" i="3"/>
  <c r="V1324" i="3"/>
  <c r="V1323" i="3"/>
  <c r="V1322" i="3"/>
  <c r="V1321" i="3"/>
  <c r="S1320" i="3"/>
  <c r="S1317" i="3" s="1"/>
  <c r="M1320" i="3"/>
  <c r="L1320" i="3"/>
  <c r="L1317" i="3" s="1"/>
  <c r="L1303" i="3" s="1"/>
  <c r="K1320" i="3"/>
  <c r="K1317" i="3" s="1"/>
  <c r="G1320" i="3"/>
  <c r="V1319" i="3"/>
  <c r="V1318" i="3"/>
  <c r="G1317" i="3"/>
  <c r="V1316" i="3"/>
  <c r="G1315" i="3"/>
  <c r="V1315" i="3" s="1"/>
  <c r="V1314" i="3"/>
  <c r="G1314" i="3"/>
  <c r="G1313" i="3"/>
  <c r="V1313" i="3" s="1"/>
  <c r="G1312" i="3"/>
  <c r="V1312" i="3" s="1"/>
  <c r="G1311" i="3"/>
  <c r="V1311" i="3" s="1"/>
  <c r="G1310" i="3"/>
  <c r="V1310" i="3" s="1"/>
  <c r="V1309" i="3"/>
  <c r="G1309" i="3"/>
  <c r="G1308" i="3"/>
  <c r="G1307" i="3"/>
  <c r="V1307" i="3" s="1"/>
  <c r="G1306" i="3"/>
  <c r="V1306" i="3" s="1"/>
  <c r="G1305" i="3"/>
  <c r="V1305" i="3" s="1"/>
  <c r="S1304" i="3"/>
  <c r="M1304" i="3"/>
  <c r="L1304" i="3"/>
  <c r="K1304" i="3"/>
  <c r="V1302" i="3"/>
  <c r="M1302" i="3"/>
  <c r="G1302" i="3"/>
  <c r="M1301" i="3"/>
  <c r="G1301" i="3"/>
  <c r="V1301" i="3" s="1"/>
  <c r="M1300" i="3"/>
  <c r="G1300" i="3"/>
  <c r="V1300" i="3" s="1"/>
  <c r="V1299" i="3"/>
  <c r="M1299" i="3"/>
  <c r="G1299" i="3"/>
  <c r="V1298" i="3"/>
  <c r="M1298" i="3"/>
  <c r="G1298" i="3"/>
  <c r="M1297" i="3"/>
  <c r="G1297" i="3"/>
  <c r="V1297" i="3" s="1"/>
  <c r="S1296" i="3"/>
  <c r="M1296" i="3" s="1"/>
  <c r="L1296" i="3"/>
  <c r="K1296" i="3"/>
  <c r="M1295" i="3"/>
  <c r="G1295" i="3"/>
  <c r="V1295" i="3" s="1"/>
  <c r="V1294" i="3"/>
  <c r="M1294" i="3"/>
  <c r="V1293" i="3"/>
  <c r="M1293" i="3"/>
  <c r="G1293" i="3"/>
  <c r="M1292" i="3"/>
  <c r="G1292" i="3"/>
  <c r="V1292" i="3" s="1"/>
  <c r="M1291" i="3"/>
  <c r="G1291" i="3"/>
  <c r="V1291" i="3" s="1"/>
  <c r="V1290" i="3"/>
  <c r="M1290" i="3"/>
  <c r="G1290" i="3"/>
  <c r="V1289" i="3"/>
  <c r="M1289" i="3"/>
  <c r="G1289" i="3"/>
  <c r="M1288" i="3"/>
  <c r="G1288" i="3"/>
  <c r="V1288" i="3" s="1"/>
  <c r="V1287" i="3"/>
  <c r="M1287" i="3"/>
  <c r="G1287" i="3"/>
  <c r="G1284" i="3" s="1"/>
  <c r="V1284" i="3" s="1"/>
  <c r="M1286" i="3"/>
  <c r="G1286" i="3"/>
  <c r="V1286" i="3" s="1"/>
  <c r="V1285" i="3"/>
  <c r="M1285" i="3"/>
  <c r="S1284" i="3"/>
  <c r="M1284" i="3"/>
  <c r="L1284" i="3"/>
  <c r="K1284" i="3"/>
  <c r="M1283" i="3"/>
  <c r="G1283" i="3"/>
  <c r="V1283" i="3" s="1"/>
  <c r="M1282" i="3"/>
  <c r="G1282" i="3"/>
  <c r="V1282" i="3" s="1"/>
  <c r="V1281" i="3"/>
  <c r="M1281" i="3"/>
  <c r="M1280" i="3"/>
  <c r="G1280" i="3"/>
  <c r="V1280" i="3" s="1"/>
  <c r="V1279" i="3"/>
  <c r="M1279" i="3"/>
  <c r="G1279" i="3"/>
  <c r="M1278" i="3"/>
  <c r="G1278" i="3"/>
  <c r="V1278" i="3" s="1"/>
  <c r="M1277" i="3"/>
  <c r="G1277" i="3"/>
  <c r="V1277" i="3" s="1"/>
  <c r="M1276" i="3"/>
  <c r="G1276" i="3"/>
  <c r="V1276" i="3" s="1"/>
  <c r="M1275" i="3"/>
  <c r="G1275" i="3"/>
  <c r="V1275" i="3" s="1"/>
  <c r="M1274" i="3"/>
  <c r="G1274" i="3"/>
  <c r="V1274" i="3" s="1"/>
  <c r="M1273" i="3"/>
  <c r="G1273" i="3"/>
  <c r="V1273" i="3" s="1"/>
  <c r="M1272" i="3"/>
  <c r="G1272" i="3"/>
  <c r="V1272" i="3" s="1"/>
  <c r="M1271" i="3"/>
  <c r="G1271" i="3"/>
  <c r="V1271" i="3" s="1"/>
  <c r="M1270" i="3"/>
  <c r="G1270" i="3"/>
  <c r="V1270" i="3" s="1"/>
  <c r="S1269" i="3"/>
  <c r="M1269" i="3" s="1"/>
  <c r="L1269" i="3"/>
  <c r="K1269" i="3"/>
  <c r="M1268" i="3"/>
  <c r="G1268" i="3"/>
  <c r="V1268" i="3" s="1"/>
  <c r="V1267" i="3"/>
  <c r="M1267" i="3"/>
  <c r="V1266" i="3"/>
  <c r="M1266" i="3"/>
  <c r="V1265" i="3"/>
  <c r="M1265" i="3"/>
  <c r="V1264" i="3"/>
  <c r="M1264" i="3"/>
  <c r="M1263" i="3"/>
  <c r="G1263" i="3"/>
  <c r="V1263" i="3" s="1"/>
  <c r="M1262" i="3"/>
  <c r="G1262" i="3"/>
  <c r="V1262" i="3" s="1"/>
  <c r="V1261" i="3"/>
  <c r="M1261" i="3"/>
  <c r="G1261" i="3"/>
  <c r="M1260" i="3"/>
  <c r="G1260" i="3"/>
  <c r="V1260" i="3" s="1"/>
  <c r="V1259" i="3"/>
  <c r="M1259" i="3"/>
  <c r="G1259" i="3"/>
  <c r="M1258" i="3"/>
  <c r="G1258" i="3"/>
  <c r="V1258" i="3" s="1"/>
  <c r="V1257" i="3"/>
  <c r="M1257" i="3"/>
  <c r="G1257" i="3"/>
  <c r="M1256" i="3"/>
  <c r="G1256" i="3"/>
  <c r="V1256" i="3" s="1"/>
  <c r="M1255" i="3"/>
  <c r="G1255" i="3"/>
  <c r="V1255" i="3" s="1"/>
  <c r="M1254" i="3"/>
  <c r="G1254" i="3"/>
  <c r="V1254" i="3" s="1"/>
  <c r="M1253" i="3"/>
  <c r="G1253" i="3"/>
  <c r="V1253" i="3" s="1"/>
  <c r="M1252" i="3"/>
  <c r="G1252" i="3"/>
  <c r="V1252" i="3" s="1"/>
  <c r="V1251" i="3"/>
  <c r="M1251" i="3"/>
  <c r="G1251" i="3"/>
  <c r="M1250" i="3"/>
  <c r="G1250" i="3"/>
  <c r="V1250" i="3" s="1"/>
  <c r="M1249" i="3"/>
  <c r="G1249" i="3"/>
  <c r="V1249" i="3" s="1"/>
  <c r="M1248" i="3"/>
  <c r="G1248" i="3"/>
  <c r="V1248" i="3" s="1"/>
  <c r="V1247" i="3"/>
  <c r="M1247" i="3"/>
  <c r="G1247" i="3"/>
  <c r="M1246" i="3"/>
  <c r="G1246" i="3"/>
  <c r="V1246" i="3" s="1"/>
  <c r="V1245" i="3"/>
  <c r="M1245" i="3"/>
  <c r="G1245" i="3"/>
  <c r="M1244" i="3"/>
  <c r="G1244" i="3"/>
  <c r="V1244" i="3" s="1"/>
  <c r="M1243" i="3"/>
  <c r="G1243" i="3"/>
  <c r="V1243" i="3" s="1"/>
  <c r="M1242" i="3"/>
  <c r="G1242" i="3"/>
  <c r="V1242" i="3" s="1"/>
  <c r="V1241" i="3"/>
  <c r="M1241" i="3"/>
  <c r="G1241" i="3"/>
  <c r="M1240" i="3"/>
  <c r="G1240" i="3"/>
  <c r="V1240" i="3" s="1"/>
  <c r="V1239" i="3"/>
  <c r="M1239" i="3"/>
  <c r="G1239" i="3"/>
  <c r="M1238" i="3"/>
  <c r="G1238" i="3"/>
  <c r="V1238" i="3" s="1"/>
  <c r="M1237" i="3"/>
  <c r="G1237" i="3"/>
  <c r="V1237" i="3" s="1"/>
  <c r="M1236" i="3"/>
  <c r="G1236" i="3"/>
  <c r="V1236" i="3" s="1"/>
  <c r="M1235" i="3"/>
  <c r="G1235" i="3"/>
  <c r="V1235" i="3" s="1"/>
  <c r="M1234" i="3"/>
  <c r="G1234" i="3"/>
  <c r="V1234" i="3" s="1"/>
  <c r="V1233" i="3"/>
  <c r="M1233" i="3"/>
  <c r="G1233" i="3"/>
  <c r="M1232" i="3"/>
  <c r="G1232" i="3"/>
  <c r="V1232" i="3" s="1"/>
  <c r="M1231" i="3"/>
  <c r="G1231" i="3"/>
  <c r="V1231" i="3" s="1"/>
  <c r="V1230" i="3"/>
  <c r="M1230" i="3"/>
  <c r="G1230" i="3"/>
  <c r="V1229" i="3"/>
  <c r="M1229" i="3"/>
  <c r="G1229" i="3"/>
  <c r="M1228" i="3"/>
  <c r="G1228" i="3"/>
  <c r="V1228" i="3" s="1"/>
  <c r="V1227" i="3"/>
  <c r="M1227" i="3"/>
  <c r="G1227" i="3"/>
  <c r="M1226" i="3"/>
  <c r="G1226" i="3"/>
  <c r="V1226" i="3" s="1"/>
  <c r="M1225" i="3"/>
  <c r="G1225" i="3"/>
  <c r="V1225" i="3" s="1"/>
  <c r="M1224" i="3"/>
  <c r="G1224" i="3"/>
  <c r="V1224" i="3" s="1"/>
  <c r="M1223" i="3"/>
  <c r="G1223" i="3"/>
  <c r="V1223" i="3" s="1"/>
  <c r="M1222" i="3"/>
  <c r="G1222" i="3"/>
  <c r="V1222" i="3" s="1"/>
  <c r="V1221" i="3"/>
  <c r="M1221" i="3"/>
  <c r="G1221" i="3"/>
  <c r="M1220" i="3"/>
  <c r="G1220" i="3"/>
  <c r="V1220" i="3" s="1"/>
  <c r="M1219" i="3"/>
  <c r="G1219" i="3"/>
  <c r="V1219" i="3" s="1"/>
  <c r="M1218" i="3"/>
  <c r="G1218" i="3"/>
  <c r="V1218" i="3" s="1"/>
  <c r="M1217" i="3"/>
  <c r="G1217" i="3"/>
  <c r="V1217" i="3" s="1"/>
  <c r="M1216" i="3"/>
  <c r="G1216" i="3"/>
  <c r="V1216" i="3" s="1"/>
  <c r="V1215" i="3"/>
  <c r="M1215" i="3"/>
  <c r="G1215" i="3"/>
  <c r="M1214" i="3"/>
  <c r="G1214" i="3"/>
  <c r="V1214" i="3" s="1"/>
  <c r="V1213" i="3"/>
  <c r="M1213" i="3"/>
  <c r="G1213" i="3"/>
  <c r="M1212" i="3"/>
  <c r="G1212" i="3"/>
  <c r="M1211" i="3"/>
  <c r="G1211" i="3"/>
  <c r="V1211" i="3" s="1"/>
  <c r="S1210" i="3"/>
  <c r="M1210" i="3"/>
  <c r="L1210" i="3"/>
  <c r="L1209" i="3" s="1"/>
  <c r="K1210" i="3"/>
  <c r="K1209" i="3" s="1"/>
  <c r="K1199" i="3" s="1"/>
  <c r="M1208" i="3"/>
  <c r="G1208" i="3"/>
  <c r="V1208" i="3" s="1"/>
  <c r="M1207" i="3"/>
  <c r="G1207" i="3"/>
  <c r="V1207" i="3" s="1"/>
  <c r="M1206" i="3"/>
  <c r="G1206" i="3"/>
  <c r="V1206" i="3" s="1"/>
  <c r="M1205" i="3"/>
  <c r="G1205" i="3"/>
  <c r="V1205" i="3" s="1"/>
  <c r="V1204" i="3"/>
  <c r="M1204" i="3"/>
  <c r="G1204" i="3"/>
  <c r="V1203" i="3"/>
  <c r="M1203" i="3"/>
  <c r="G1203" i="3"/>
  <c r="M1202" i="3"/>
  <c r="G1202" i="3"/>
  <c r="M1201" i="3"/>
  <c r="G1201" i="3"/>
  <c r="V1201" i="3" s="1"/>
  <c r="S1200" i="3"/>
  <c r="M1200" i="3" s="1"/>
  <c r="L1200" i="3"/>
  <c r="K1200" i="3"/>
  <c r="M1198" i="3"/>
  <c r="K1198" i="3"/>
  <c r="V1198" i="3" s="1"/>
  <c r="V1197" i="3"/>
  <c r="M1197" i="3"/>
  <c r="K1197" i="3"/>
  <c r="M1196" i="3"/>
  <c r="K1196" i="3"/>
  <c r="V1196" i="3" s="1"/>
  <c r="M1195" i="3"/>
  <c r="K1195" i="3"/>
  <c r="V1195" i="3" s="1"/>
  <c r="M1194" i="3"/>
  <c r="K1194" i="3"/>
  <c r="V1194" i="3" s="1"/>
  <c r="M1193" i="3"/>
  <c r="K1193" i="3"/>
  <c r="V1193" i="3" s="1"/>
  <c r="M1192" i="3"/>
  <c r="K1192" i="3"/>
  <c r="V1192" i="3" s="1"/>
  <c r="M1191" i="3"/>
  <c r="K1191" i="3"/>
  <c r="V1191" i="3" s="1"/>
  <c r="M1190" i="3"/>
  <c r="G1190" i="3"/>
  <c r="V1189" i="3"/>
  <c r="M1189" i="3"/>
  <c r="K1189" i="3"/>
  <c r="M1188" i="3"/>
  <c r="K1188" i="3"/>
  <c r="V1188" i="3" s="1"/>
  <c r="V1187" i="3"/>
  <c r="M1187" i="3"/>
  <c r="K1187" i="3"/>
  <c r="V1186" i="3"/>
  <c r="M1186" i="3"/>
  <c r="K1186" i="3"/>
  <c r="M1185" i="3"/>
  <c r="K1185" i="3"/>
  <c r="V1185" i="3" s="1"/>
  <c r="M1184" i="3"/>
  <c r="K1184" i="3"/>
  <c r="V1184" i="3" s="1"/>
  <c r="M1183" i="3"/>
  <c r="K1183" i="3"/>
  <c r="V1183" i="3" s="1"/>
  <c r="M1182" i="3"/>
  <c r="K1182" i="3"/>
  <c r="V1182" i="3" s="1"/>
  <c r="M1181" i="3"/>
  <c r="K1181" i="3"/>
  <c r="V1181" i="3" s="1"/>
  <c r="M1180" i="3"/>
  <c r="K1180" i="3"/>
  <c r="V1180" i="3" s="1"/>
  <c r="V1179" i="3"/>
  <c r="M1179" i="3"/>
  <c r="K1179" i="3"/>
  <c r="V1178" i="3"/>
  <c r="M1178" i="3"/>
  <c r="K1178" i="3"/>
  <c r="S1177" i="3"/>
  <c r="M1177" i="3" s="1"/>
  <c r="L1177" i="3"/>
  <c r="G1177" i="3"/>
  <c r="M1176" i="3"/>
  <c r="K1176" i="3"/>
  <c r="V1176" i="3" s="1"/>
  <c r="M1175" i="3"/>
  <c r="K1175" i="3"/>
  <c r="V1175" i="3" s="1"/>
  <c r="M1174" i="3"/>
  <c r="K1174" i="3"/>
  <c r="V1174" i="3" s="1"/>
  <c r="M1173" i="3"/>
  <c r="K1173" i="3"/>
  <c r="V1173" i="3" s="1"/>
  <c r="V1172" i="3"/>
  <c r="M1172" i="3"/>
  <c r="K1172" i="3"/>
  <c r="V1171" i="3"/>
  <c r="M1171" i="3"/>
  <c r="K1171" i="3"/>
  <c r="S1170" i="3"/>
  <c r="M1170" i="3" s="1"/>
  <c r="L1170" i="3"/>
  <c r="G1170" i="3"/>
  <c r="V1169" i="3"/>
  <c r="M1169" i="3"/>
  <c r="M1168" i="3"/>
  <c r="K1168" i="3"/>
  <c r="V1168" i="3" s="1"/>
  <c r="M1167" i="3"/>
  <c r="K1167" i="3"/>
  <c r="V1167" i="3" s="1"/>
  <c r="M1166" i="3"/>
  <c r="K1166" i="3"/>
  <c r="V1166" i="3" s="1"/>
  <c r="M1165" i="3"/>
  <c r="K1165" i="3"/>
  <c r="V1165" i="3" s="1"/>
  <c r="M1164" i="3"/>
  <c r="K1164" i="3"/>
  <c r="V1164" i="3" s="1"/>
  <c r="M1163" i="3"/>
  <c r="K1163" i="3"/>
  <c r="V1163" i="3" s="1"/>
  <c r="M1162" i="3"/>
  <c r="K1162" i="3"/>
  <c r="V1162" i="3" s="1"/>
  <c r="M1161" i="3"/>
  <c r="K1161" i="3"/>
  <c r="V1161" i="3" s="1"/>
  <c r="M1160" i="3"/>
  <c r="K1160" i="3"/>
  <c r="V1160" i="3" s="1"/>
  <c r="M1159" i="3"/>
  <c r="K1159" i="3"/>
  <c r="V1159" i="3" s="1"/>
  <c r="M1158" i="3"/>
  <c r="K1158" i="3"/>
  <c r="M1157" i="3"/>
  <c r="K1157" i="3"/>
  <c r="V1157" i="3" s="1"/>
  <c r="M1156" i="3"/>
  <c r="K1156" i="3"/>
  <c r="V1156" i="3" s="1"/>
  <c r="M1155" i="3"/>
  <c r="K1155" i="3"/>
  <c r="V1155" i="3" s="1"/>
  <c r="M1154" i="3"/>
  <c r="K1154" i="3"/>
  <c r="V1154" i="3" s="1"/>
  <c r="M1153" i="3"/>
  <c r="K1153" i="3"/>
  <c r="V1153" i="3" s="1"/>
  <c r="M1152" i="3"/>
  <c r="K1152" i="3"/>
  <c r="V1152" i="3" s="1"/>
  <c r="V1151" i="3"/>
  <c r="M1151" i="3"/>
  <c r="K1151" i="3"/>
  <c r="M1150" i="3"/>
  <c r="K1150" i="3"/>
  <c r="V1150" i="3" s="1"/>
  <c r="V1149" i="3"/>
  <c r="M1149" i="3"/>
  <c r="K1149" i="3"/>
  <c r="M1148" i="3"/>
  <c r="K1148" i="3"/>
  <c r="V1148" i="3" s="1"/>
  <c r="M1147" i="3"/>
  <c r="K1147" i="3"/>
  <c r="V1147" i="3" s="1"/>
  <c r="M1146" i="3"/>
  <c r="K1146" i="3"/>
  <c r="V1146" i="3" s="1"/>
  <c r="M1145" i="3"/>
  <c r="K1145" i="3"/>
  <c r="V1145" i="3" s="1"/>
  <c r="M1144" i="3"/>
  <c r="K1144" i="3"/>
  <c r="V1144" i="3" s="1"/>
  <c r="M1143" i="3"/>
  <c r="K1143" i="3"/>
  <c r="V1143" i="3" s="1"/>
  <c r="M1142" i="3"/>
  <c r="K1142" i="3"/>
  <c r="V1142" i="3" s="1"/>
  <c r="M1141" i="3"/>
  <c r="K1141" i="3"/>
  <c r="V1141" i="3" s="1"/>
  <c r="S1140" i="3"/>
  <c r="M1140" i="3" s="1"/>
  <c r="L1140" i="3"/>
  <c r="L1139" i="3" s="1"/>
  <c r="G1140" i="3"/>
  <c r="F1140" i="3"/>
  <c r="V1138" i="3"/>
  <c r="M1138" i="3"/>
  <c r="S1137" i="3"/>
  <c r="S1136" i="3" s="1"/>
  <c r="L1137" i="3"/>
  <c r="L1136" i="3" s="1"/>
  <c r="K1137" i="3"/>
  <c r="G1137" i="3"/>
  <c r="F1137" i="3"/>
  <c r="F1136" i="3" s="1"/>
  <c r="K1136" i="3"/>
  <c r="V1134" i="3"/>
  <c r="M1134" i="3"/>
  <c r="K1134" i="3"/>
  <c r="M1133" i="3"/>
  <c r="K1133" i="3"/>
  <c r="V1133" i="3" s="1"/>
  <c r="M1132" i="3"/>
  <c r="K1132" i="3"/>
  <c r="V1132" i="3" s="1"/>
  <c r="M1131" i="3"/>
  <c r="K1131" i="3"/>
  <c r="V1131" i="3" s="1"/>
  <c r="M1130" i="3"/>
  <c r="K1130" i="3"/>
  <c r="V1130" i="3" s="1"/>
  <c r="M1129" i="3"/>
  <c r="K1129" i="3"/>
  <c r="V1129" i="3" s="1"/>
  <c r="M1128" i="3"/>
  <c r="K1128" i="3"/>
  <c r="V1128" i="3" s="1"/>
  <c r="M1127" i="3"/>
  <c r="K1127" i="3"/>
  <c r="V1127" i="3" s="1"/>
  <c r="M1126" i="3"/>
  <c r="K1126" i="3"/>
  <c r="V1126" i="3" s="1"/>
  <c r="V1125" i="3"/>
  <c r="M1125" i="3"/>
  <c r="K1125" i="3"/>
  <c r="M1124" i="3"/>
  <c r="K1124" i="3"/>
  <c r="V1124" i="3" s="1"/>
  <c r="M1123" i="3"/>
  <c r="K1123" i="3"/>
  <c r="V1123" i="3" s="1"/>
  <c r="V1122" i="3"/>
  <c r="M1122" i="3"/>
  <c r="K1122" i="3"/>
  <c r="M1121" i="3"/>
  <c r="K1121" i="3"/>
  <c r="V1121" i="3" s="1"/>
  <c r="M1120" i="3"/>
  <c r="K1120" i="3"/>
  <c r="V1120" i="3" s="1"/>
  <c r="M1119" i="3"/>
  <c r="K1119" i="3"/>
  <c r="V1119" i="3" s="1"/>
  <c r="V1118" i="3"/>
  <c r="M1118" i="3"/>
  <c r="K1118" i="3"/>
  <c r="M1117" i="3"/>
  <c r="K1117" i="3"/>
  <c r="V1117" i="3" s="1"/>
  <c r="V1116" i="3"/>
  <c r="M1116" i="3"/>
  <c r="K1116" i="3"/>
  <c r="M1115" i="3"/>
  <c r="K1115" i="3"/>
  <c r="V1115" i="3" s="1"/>
  <c r="V1114" i="3"/>
  <c r="M1114" i="3"/>
  <c r="K1114" i="3"/>
  <c r="V1113" i="3"/>
  <c r="M1113" i="3"/>
  <c r="K1113" i="3"/>
  <c r="M1112" i="3"/>
  <c r="K1112" i="3"/>
  <c r="V1112" i="3" s="1"/>
  <c r="M1111" i="3"/>
  <c r="K1111" i="3"/>
  <c r="V1111" i="3" s="1"/>
  <c r="M1110" i="3"/>
  <c r="K1110" i="3"/>
  <c r="V1110" i="3" s="1"/>
  <c r="M1109" i="3"/>
  <c r="K1109" i="3"/>
  <c r="V1109" i="3" s="1"/>
  <c r="M1108" i="3"/>
  <c r="K1108" i="3"/>
  <c r="V1108" i="3" s="1"/>
  <c r="M1107" i="3"/>
  <c r="K1107" i="3"/>
  <c r="V1107" i="3" s="1"/>
  <c r="M1106" i="3"/>
  <c r="K1106" i="3"/>
  <c r="V1106" i="3" s="1"/>
  <c r="M1105" i="3"/>
  <c r="K1105" i="3"/>
  <c r="V1105" i="3" s="1"/>
  <c r="V1104" i="3"/>
  <c r="M1104" i="3"/>
  <c r="K1104" i="3"/>
  <c r="M1103" i="3"/>
  <c r="K1103" i="3"/>
  <c r="V1103" i="3" s="1"/>
  <c r="V1102" i="3"/>
  <c r="M1102" i="3"/>
  <c r="K1102" i="3"/>
  <c r="M1101" i="3"/>
  <c r="K1101" i="3"/>
  <c r="V1101" i="3" s="1"/>
  <c r="V1100" i="3"/>
  <c r="M1100" i="3"/>
  <c r="K1100" i="3"/>
  <c r="M1099" i="3"/>
  <c r="K1099" i="3"/>
  <c r="V1099" i="3" s="1"/>
  <c r="M1098" i="3"/>
  <c r="K1098" i="3"/>
  <c r="V1098" i="3" s="1"/>
  <c r="M1097" i="3"/>
  <c r="K1097" i="3"/>
  <c r="V1097" i="3" s="1"/>
  <c r="M1096" i="3"/>
  <c r="K1096" i="3"/>
  <c r="V1096" i="3" s="1"/>
  <c r="M1095" i="3"/>
  <c r="K1095" i="3"/>
  <c r="V1095" i="3" s="1"/>
  <c r="V1094" i="3"/>
  <c r="M1094" i="3"/>
  <c r="K1094" i="3"/>
  <c r="M1093" i="3"/>
  <c r="K1093" i="3"/>
  <c r="V1093" i="3" s="1"/>
  <c r="M1092" i="3"/>
  <c r="K1092" i="3"/>
  <c r="V1092" i="3" s="1"/>
  <c r="M1091" i="3"/>
  <c r="K1091" i="3"/>
  <c r="V1091" i="3" s="1"/>
  <c r="V1090" i="3"/>
  <c r="M1090" i="3"/>
  <c r="K1090" i="3"/>
  <c r="M1089" i="3"/>
  <c r="K1089" i="3"/>
  <c r="V1089" i="3" s="1"/>
  <c r="V1088" i="3"/>
  <c r="M1088" i="3"/>
  <c r="K1088" i="3"/>
  <c r="M1087" i="3"/>
  <c r="K1087" i="3"/>
  <c r="V1087" i="3" s="1"/>
  <c r="V1086" i="3"/>
  <c r="M1086" i="3"/>
  <c r="K1086" i="3"/>
  <c r="V1085" i="3"/>
  <c r="M1085" i="3"/>
  <c r="K1085" i="3"/>
  <c r="M1084" i="3"/>
  <c r="K1084" i="3"/>
  <c r="V1084" i="3" s="1"/>
  <c r="M1083" i="3"/>
  <c r="K1083" i="3"/>
  <c r="V1083" i="3" s="1"/>
  <c r="M1082" i="3"/>
  <c r="K1082" i="3"/>
  <c r="V1082" i="3" s="1"/>
  <c r="M1081" i="3"/>
  <c r="K1081" i="3"/>
  <c r="V1081" i="3" s="1"/>
  <c r="M1080" i="3"/>
  <c r="K1080" i="3"/>
  <c r="V1080" i="3" s="1"/>
  <c r="M1079" i="3"/>
  <c r="K1079" i="3"/>
  <c r="V1079" i="3" s="1"/>
  <c r="M1078" i="3"/>
  <c r="K1078" i="3"/>
  <c r="V1078" i="3" s="1"/>
  <c r="V1077" i="3"/>
  <c r="M1077" i="3"/>
  <c r="K1077" i="3"/>
  <c r="V1076" i="3"/>
  <c r="M1076" i="3"/>
  <c r="K1076" i="3"/>
  <c r="M1075" i="3"/>
  <c r="K1075" i="3"/>
  <c r="V1075" i="3" s="1"/>
  <c r="V1074" i="3"/>
  <c r="M1074" i="3"/>
  <c r="K1074" i="3"/>
  <c r="M1073" i="3"/>
  <c r="K1073" i="3"/>
  <c r="V1073" i="3" s="1"/>
  <c r="V1072" i="3"/>
  <c r="M1072" i="3"/>
  <c r="K1072" i="3"/>
  <c r="M1071" i="3"/>
  <c r="K1071" i="3"/>
  <c r="V1071" i="3" s="1"/>
  <c r="V1070" i="3"/>
  <c r="M1070" i="3"/>
  <c r="K1070" i="3"/>
  <c r="M1069" i="3"/>
  <c r="K1069" i="3"/>
  <c r="V1069" i="3" s="1"/>
  <c r="V1068" i="3"/>
  <c r="M1068" i="3"/>
  <c r="K1068" i="3"/>
  <c r="M1067" i="3"/>
  <c r="K1067" i="3"/>
  <c r="V1067" i="3" s="1"/>
  <c r="M1066" i="3"/>
  <c r="K1066" i="3"/>
  <c r="V1066" i="3" s="1"/>
  <c r="V1065" i="3"/>
  <c r="M1065" i="3"/>
  <c r="K1065" i="3"/>
  <c r="M1064" i="3"/>
  <c r="K1064" i="3"/>
  <c r="V1064" i="3" s="1"/>
  <c r="M1063" i="3"/>
  <c r="K1063" i="3"/>
  <c r="V1063" i="3" s="1"/>
  <c r="M1062" i="3"/>
  <c r="K1062" i="3"/>
  <c r="V1062" i="3" s="1"/>
  <c r="M1061" i="3"/>
  <c r="K1061" i="3"/>
  <c r="V1061" i="3" s="1"/>
  <c r="M1060" i="3"/>
  <c r="K1060" i="3"/>
  <c r="V1060" i="3" s="1"/>
  <c r="M1059" i="3"/>
  <c r="K1059" i="3"/>
  <c r="V1059" i="3" s="1"/>
  <c r="V1058" i="3"/>
  <c r="M1058" i="3"/>
  <c r="K1058" i="3"/>
  <c r="M1057" i="3"/>
  <c r="K1057" i="3"/>
  <c r="V1056" i="3"/>
  <c r="M1056" i="3"/>
  <c r="K1056" i="3"/>
  <c r="S1055" i="3"/>
  <c r="M1055" i="3" s="1"/>
  <c r="L1055" i="3"/>
  <c r="J1055" i="3"/>
  <c r="I1055" i="3"/>
  <c r="H1055" i="3"/>
  <c r="G1055" i="3"/>
  <c r="M1054" i="3"/>
  <c r="K1054" i="3"/>
  <c r="V1054" i="3" s="1"/>
  <c r="M1053" i="3"/>
  <c r="K1053" i="3"/>
  <c r="V1053" i="3" s="1"/>
  <c r="M1052" i="3"/>
  <c r="K1052" i="3"/>
  <c r="V1052" i="3" s="1"/>
  <c r="M1051" i="3"/>
  <c r="K1051" i="3"/>
  <c r="V1051" i="3" s="1"/>
  <c r="V1050" i="3"/>
  <c r="M1050" i="3"/>
  <c r="K1050" i="3"/>
  <c r="S1049" i="3"/>
  <c r="M1049" i="3"/>
  <c r="L1049" i="3"/>
  <c r="J1049" i="3"/>
  <c r="I1049" i="3"/>
  <c r="H1049" i="3"/>
  <c r="G1049" i="3"/>
  <c r="V1048" i="3"/>
  <c r="M1048" i="3"/>
  <c r="K1048" i="3"/>
  <c r="M1047" i="3"/>
  <c r="K1047" i="3"/>
  <c r="V1047" i="3" s="1"/>
  <c r="V1046" i="3"/>
  <c r="M1046" i="3"/>
  <c r="K1046" i="3"/>
  <c r="M1045" i="3"/>
  <c r="K1045" i="3"/>
  <c r="V1045" i="3" s="1"/>
  <c r="M1044" i="3"/>
  <c r="K1044" i="3"/>
  <c r="V1044" i="3" s="1"/>
  <c r="M1043" i="3"/>
  <c r="K1043" i="3"/>
  <c r="V1043" i="3" s="1"/>
  <c r="M1042" i="3"/>
  <c r="K1042" i="3"/>
  <c r="V1042" i="3" s="1"/>
  <c r="V1041" i="3"/>
  <c r="M1041" i="3"/>
  <c r="K1041" i="3"/>
  <c r="V1040" i="3"/>
  <c r="M1040" i="3"/>
  <c r="K1040" i="3"/>
  <c r="M1039" i="3"/>
  <c r="K1039" i="3"/>
  <c r="S1038" i="3"/>
  <c r="M1038" i="3" s="1"/>
  <c r="L1038" i="3"/>
  <c r="J1038" i="3"/>
  <c r="J1037" i="3" s="1"/>
  <c r="I1038" i="3"/>
  <c r="I1037" i="3" s="1"/>
  <c r="H1038" i="3"/>
  <c r="G1038" i="3"/>
  <c r="G1037" i="3"/>
  <c r="M1036" i="3"/>
  <c r="K1036" i="3"/>
  <c r="V1036" i="3" s="1"/>
  <c r="M1035" i="3"/>
  <c r="K1035" i="3"/>
  <c r="V1035" i="3" s="1"/>
  <c r="M1034" i="3"/>
  <c r="K1034" i="3"/>
  <c r="V1034" i="3" s="1"/>
  <c r="M1033" i="3"/>
  <c r="K1033" i="3"/>
  <c r="V1033" i="3" s="1"/>
  <c r="M1032" i="3"/>
  <c r="K1032" i="3"/>
  <c r="V1032" i="3" s="1"/>
  <c r="M1031" i="3"/>
  <c r="K1031" i="3"/>
  <c r="V1031" i="3" s="1"/>
  <c r="V1030" i="3"/>
  <c r="M1030" i="3"/>
  <c r="K1030" i="3"/>
  <c r="M1029" i="3"/>
  <c r="K1029" i="3"/>
  <c r="V1029" i="3" s="1"/>
  <c r="V1028" i="3"/>
  <c r="M1028" i="3"/>
  <c r="K1028" i="3"/>
  <c r="M1027" i="3"/>
  <c r="K1027" i="3"/>
  <c r="V1027" i="3" s="1"/>
  <c r="V1026" i="3"/>
  <c r="M1026" i="3"/>
  <c r="K1026" i="3"/>
  <c r="M1025" i="3"/>
  <c r="K1025" i="3"/>
  <c r="V1025" i="3" s="1"/>
  <c r="V1024" i="3"/>
  <c r="M1024" i="3"/>
  <c r="K1024" i="3"/>
  <c r="M1023" i="3"/>
  <c r="K1023" i="3"/>
  <c r="V1023" i="3" s="1"/>
  <c r="M1022" i="3"/>
  <c r="K1022" i="3"/>
  <c r="V1022" i="3" s="1"/>
  <c r="M1021" i="3"/>
  <c r="K1021" i="3"/>
  <c r="V1021" i="3" s="1"/>
  <c r="M1020" i="3"/>
  <c r="K1020" i="3"/>
  <c r="V1020" i="3" s="1"/>
  <c r="M1019" i="3"/>
  <c r="K1019" i="3"/>
  <c r="V1019" i="3" s="1"/>
  <c r="M1018" i="3"/>
  <c r="K1018" i="3"/>
  <c r="V1018" i="3" s="1"/>
  <c r="M1017" i="3"/>
  <c r="K1017" i="3"/>
  <c r="V1017" i="3" s="1"/>
  <c r="V1016" i="3"/>
  <c r="M1016" i="3"/>
  <c r="K1016" i="3"/>
  <c r="M1015" i="3"/>
  <c r="K1015" i="3"/>
  <c r="V1015" i="3" s="1"/>
  <c r="S1014" i="3"/>
  <c r="G1014" i="3"/>
  <c r="V1012" i="3"/>
  <c r="M1012" i="3"/>
  <c r="V1011" i="3"/>
  <c r="M1011" i="3"/>
  <c r="M1010" i="3"/>
  <c r="V1010" i="3"/>
  <c r="M1009" i="3"/>
  <c r="V1009" i="3"/>
  <c r="M1008" i="3"/>
  <c r="M1007" i="3"/>
  <c r="V1007" i="3"/>
  <c r="M1006" i="3"/>
  <c r="V1006" i="3"/>
  <c r="V1005" i="3"/>
  <c r="M1005" i="3"/>
  <c r="M1004" i="3"/>
  <c r="V1004" i="3"/>
  <c r="M1003" i="3"/>
  <c r="V1003" i="3"/>
  <c r="V1002" i="3"/>
  <c r="M1002" i="3"/>
  <c r="V1001" i="3"/>
  <c r="M1001" i="3"/>
  <c r="V1000" i="3"/>
  <c r="M1000" i="3"/>
  <c r="V999" i="3"/>
  <c r="M999" i="3"/>
  <c r="V998" i="3"/>
  <c r="M998" i="3"/>
  <c r="V997" i="3"/>
  <c r="M997" i="3"/>
  <c r="V996" i="3"/>
  <c r="M996" i="3"/>
  <c r="V995" i="3"/>
  <c r="M995" i="3"/>
  <c r="V994" i="3"/>
  <c r="M994" i="3"/>
  <c r="V993" i="3"/>
  <c r="M993" i="3"/>
  <c r="V992" i="3"/>
  <c r="M992" i="3"/>
  <c r="V991" i="3"/>
  <c r="M991" i="3"/>
  <c r="V990" i="3"/>
  <c r="M990" i="3"/>
  <c r="M989" i="3"/>
  <c r="V989" i="3"/>
  <c r="M988" i="3"/>
  <c r="V988" i="3"/>
  <c r="V987" i="3"/>
  <c r="M987" i="3"/>
  <c r="V986" i="3"/>
  <c r="M986" i="3"/>
  <c r="M985" i="3"/>
  <c r="V985" i="3"/>
  <c r="V984" i="3"/>
  <c r="M984" i="3"/>
  <c r="M983" i="3"/>
  <c r="V983" i="3"/>
  <c r="M982" i="3"/>
  <c r="V982" i="3"/>
  <c r="M981" i="3"/>
  <c r="V981" i="3"/>
  <c r="M980" i="3"/>
  <c r="V980" i="3"/>
  <c r="M979" i="3"/>
  <c r="V979" i="3"/>
  <c r="M978" i="3"/>
  <c r="V978" i="3"/>
  <c r="M977" i="3"/>
  <c r="V977" i="3"/>
  <c r="M976" i="3"/>
  <c r="V976" i="3"/>
  <c r="M975" i="3"/>
  <c r="V975" i="3"/>
  <c r="M974" i="3"/>
  <c r="V974" i="3"/>
  <c r="M973" i="3"/>
  <c r="V973" i="3"/>
  <c r="M972" i="3"/>
  <c r="V972" i="3"/>
  <c r="M971" i="3"/>
  <c r="V971" i="3"/>
  <c r="M970" i="3"/>
  <c r="V970" i="3"/>
  <c r="M969" i="3"/>
  <c r="V969" i="3"/>
  <c r="M968" i="3"/>
  <c r="V968" i="3"/>
  <c r="M967" i="3"/>
  <c r="V967" i="3"/>
  <c r="V966" i="3"/>
  <c r="M966" i="3"/>
  <c r="M965" i="3"/>
  <c r="V965" i="3"/>
  <c r="M964" i="3"/>
  <c r="V964" i="3"/>
  <c r="V963" i="3"/>
  <c r="M963" i="3"/>
  <c r="M962" i="3"/>
  <c r="V962" i="3"/>
  <c r="M961" i="3"/>
  <c r="V961" i="3"/>
  <c r="M960" i="3"/>
  <c r="V960" i="3"/>
  <c r="V959" i="3"/>
  <c r="M959" i="3"/>
  <c r="M958" i="3"/>
  <c r="V958" i="3"/>
  <c r="V957" i="3"/>
  <c r="M957" i="3"/>
  <c r="V956" i="3"/>
  <c r="M956" i="3"/>
  <c r="M955" i="3"/>
  <c r="V955" i="3"/>
  <c r="M954" i="3"/>
  <c r="V954" i="3"/>
  <c r="V953" i="3"/>
  <c r="M953" i="3"/>
  <c r="V952" i="3"/>
  <c r="M952" i="3"/>
  <c r="M951" i="3"/>
  <c r="V951" i="3"/>
  <c r="V950" i="3"/>
  <c r="M950" i="3"/>
  <c r="V949" i="3"/>
  <c r="M949" i="3"/>
  <c r="M948" i="3"/>
  <c r="V948" i="3"/>
  <c r="V947" i="3"/>
  <c r="M947" i="3"/>
  <c r="M946" i="3"/>
  <c r="V946" i="3"/>
  <c r="M945" i="3"/>
  <c r="V945" i="3"/>
  <c r="V944" i="3"/>
  <c r="M944" i="3"/>
  <c r="M943" i="3"/>
  <c r="V943" i="3"/>
  <c r="M942" i="3"/>
  <c r="V942" i="3"/>
  <c r="V941" i="3"/>
  <c r="M941" i="3"/>
  <c r="M940" i="3"/>
  <c r="V940" i="3"/>
  <c r="M939" i="3"/>
  <c r="V939" i="3"/>
  <c r="V938" i="3"/>
  <c r="M938" i="3"/>
  <c r="M937" i="3"/>
  <c r="V937" i="3"/>
  <c r="M936" i="3"/>
  <c r="V936" i="3"/>
  <c r="V935" i="3"/>
  <c r="M935" i="3"/>
  <c r="M934" i="3"/>
  <c r="V934" i="3"/>
  <c r="M933" i="3"/>
  <c r="V933" i="3"/>
  <c r="V932" i="3"/>
  <c r="M932" i="3"/>
  <c r="V931" i="3"/>
  <c r="M931" i="3"/>
  <c r="V930" i="3"/>
  <c r="M930" i="3"/>
  <c r="V929" i="3"/>
  <c r="M929" i="3"/>
  <c r="V928" i="3"/>
  <c r="M928" i="3"/>
  <c r="V927" i="3"/>
  <c r="M927" i="3"/>
  <c r="V926" i="3"/>
  <c r="M926" i="3"/>
  <c r="V925" i="3"/>
  <c r="M925" i="3"/>
  <c r="V924" i="3"/>
  <c r="M924" i="3"/>
  <c r="V923" i="3"/>
  <c r="M923" i="3"/>
  <c r="V922" i="3"/>
  <c r="M922" i="3"/>
  <c r="V921" i="3"/>
  <c r="M921" i="3"/>
  <c r="V920" i="3"/>
  <c r="M920" i="3"/>
  <c r="V919" i="3"/>
  <c r="M919" i="3"/>
  <c r="V918" i="3"/>
  <c r="M918" i="3"/>
  <c r="V917" i="3"/>
  <c r="M917" i="3"/>
  <c r="V916" i="3"/>
  <c r="M916" i="3"/>
  <c r="V915" i="3"/>
  <c r="M915" i="3"/>
  <c r="V914" i="3"/>
  <c r="M914" i="3"/>
  <c r="V913" i="3"/>
  <c r="M913" i="3"/>
  <c r="V912" i="3"/>
  <c r="M912" i="3"/>
  <c r="V911" i="3"/>
  <c r="M911" i="3"/>
  <c r="V910" i="3"/>
  <c r="M910" i="3"/>
  <c r="V909" i="3"/>
  <c r="M909" i="3"/>
  <c r="V908" i="3"/>
  <c r="M908" i="3"/>
  <c r="V907" i="3"/>
  <c r="M907" i="3"/>
  <c r="R906" i="3"/>
  <c r="Q906" i="3"/>
  <c r="P906" i="3"/>
  <c r="O906" i="3"/>
  <c r="N906" i="3"/>
  <c r="L906" i="3"/>
  <c r="J906" i="3"/>
  <c r="I906" i="3"/>
  <c r="H906" i="3"/>
  <c r="G906" i="3"/>
  <c r="V905" i="3"/>
  <c r="M905" i="3"/>
  <c r="K905" i="3"/>
  <c r="M904" i="3"/>
  <c r="K904" i="3"/>
  <c r="V904" i="3" s="1"/>
  <c r="V903" i="3"/>
  <c r="M903" i="3"/>
  <c r="M902" i="3"/>
  <c r="K902" i="3"/>
  <c r="V902" i="3" s="1"/>
  <c r="M901" i="3"/>
  <c r="K901" i="3"/>
  <c r="V901" i="3" s="1"/>
  <c r="V900" i="3"/>
  <c r="M900" i="3"/>
  <c r="K900" i="3"/>
  <c r="M899" i="3"/>
  <c r="K899" i="3"/>
  <c r="V899" i="3" s="1"/>
  <c r="V898" i="3"/>
  <c r="M898" i="3"/>
  <c r="V897" i="3"/>
  <c r="M897" i="3"/>
  <c r="M896" i="3"/>
  <c r="K896" i="3"/>
  <c r="V896" i="3" s="1"/>
  <c r="M895" i="3"/>
  <c r="K895" i="3"/>
  <c r="V895" i="3" s="1"/>
  <c r="M894" i="3"/>
  <c r="L894" i="3"/>
  <c r="K894" i="3"/>
  <c r="V894" i="3" s="1"/>
  <c r="V893" i="3"/>
  <c r="M893" i="3"/>
  <c r="L893" i="3"/>
  <c r="K893" i="3"/>
  <c r="M892" i="3"/>
  <c r="L892" i="3"/>
  <c r="L889" i="3" s="1"/>
  <c r="K892" i="3"/>
  <c r="V892" i="3" s="1"/>
  <c r="M891" i="3"/>
  <c r="K891" i="3"/>
  <c r="A891" i="3"/>
  <c r="A892" i="3" s="1"/>
  <c r="A893" i="3" s="1"/>
  <c r="A894" i="3" s="1"/>
  <c r="A895" i="3" s="1"/>
  <c r="A896" i="3" s="1"/>
  <c r="A897" i="3" s="1"/>
  <c r="A898" i="3" s="1"/>
  <c r="A899" i="3" s="1"/>
  <c r="A900" i="3" s="1"/>
  <c r="A901" i="3" s="1"/>
  <c r="A902" i="3" s="1"/>
  <c r="A903" i="3" s="1"/>
  <c r="A904" i="3" s="1"/>
  <c r="A905" i="3" s="1"/>
  <c r="V890" i="3"/>
  <c r="M890" i="3"/>
  <c r="K890" i="3"/>
  <c r="S889" i="3"/>
  <c r="G889" i="3"/>
  <c r="F889" i="3"/>
  <c r="F888" i="3" s="1"/>
  <c r="V887" i="3"/>
  <c r="M887" i="3"/>
  <c r="M886" i="3"/>
  <c r="K886" i="3"/>
  <c r="V886" i="3" s="1"/>
  <c r="V885" i="3"/>
  <c r="M885" i="3"/>
  <c r="K885" i="3"/>
  <c r="M884" i="3"/>
  <c r="K884" i="3"/>
  <c r="V884" i="3" s="1"/>
  <c r="V883" i="3"/>
  <c r="M883" i="3"/>
  <c r="V882" i="3"/>
  <c r="M882" i="3"/>
  <c r="V881" i="3"/>
  <c r="M881" i="3"/>
  <c r="V880" i="3"/>
  <c r="M880" i="3"/>
  <c r="V879" i="3"/>
  <c r="M879" i="3"/>
  <c r="V878" i="3"/>
  <c r="M878" i="3"/>
  <c r="V877" i="3"/>
  <c r="M877" i="3"/>
  <c r="V876" i="3"/>
  <c r="M876" i="3"/>
  <c r="V875" i="3"/>
  <c r="M875" i="3"/>
  <c r="M874" i="3"/>
  <c r="K874" i="3"/>
  <c r="V874" i="3" s="1"/>
  <c r="M873" i="3"/>
  <c r="K873" i="3"/>
  <c r="V873" i="3" s="1"/>
  <c r="M872" i="3"/>
  <c r="K872" i="3"/>
  <c r="V872" i="3" s="1"/>
  <c r="A872" i="3"/>
  <c r="A873" i="3" s="1"/>
  <c r="A874" i="3" s="1"/>
  <c r="A875" i="3" s="1"/>
  <c r="A876" i="3" s="1"/>
  <c r="A877" i="3" s="1"/>
  <c r="A878" i="3" s="1"/>
  <c r="A879" i="3" s="1"/>
  <c r="A880" i="3" s="1"/>
  <c r="A881" i="3" s="1"/>
  <c r="A882" i="3" s="1"/>
  <c r="A883" i="3" s="1"/>
  <c r="A884" i="3" s="1"/>
  <c r="A885" i="3" s="1"/>
  <c r="A886" i="3" s="1"/>
  <c r="A887" i="3" s="1"/>
  <c r="V871" i="3"/>
  <c r="M871" i="3"/>
  <c r="S870" i="3"/>
  <c r="M870" i="3" s="1"/>
  <c r="L870" i="3"/>
  <c r="G870" i="3"/>
  <c r="V869" i="3"/>
  <c r="M869" i="3"/>
  <c r="V868" i="3"/>
  <c r="M868" i="3"/>
  <c r="V867" i="3"/>
  <c r="M867" i="3"/>
  <c r="A867" i="3"/>
  <c r="A868" i="3" s="1"/>
  <c r="A869" i="3" s="1"/>
  <c r="V866" i="3"/>
  <c r="M866" i="3"/>
  <c r="S865" i="3"/>
  <c r="S864" i="3" s="1"/>
  <c r="M865" i="3"/>
  <c r="L865" i="3"/>
  <c r="L864" i="3" s="1"/>
  <c r="K865" i="3"/>
  <c r="G865" i="3"/>
  <c r="F864" i="3"/>
  <c r="V862" i="3"/>
  <c r="M862" i="3"/>
  <c r="V861" i="3"/>
  <c r="M861" i="3"/>
  <c r="V860" i="3"/>
  <c r="M860" i="3"/>
  <c r="V859" i="3"/>
  <c r="M859" i="3"/>
  <c r="V858" i="3"/>
  <c r="M858" i="3"/>
  <c r="V857" i="3"/>
  <c r="M857" i="3"/>
  <c r="V856" i="3"/>
  <c r="M856" i="3"/>
  <c r="V855" i="3"/>
  <c r="M855" i="3"/>
  <c r="V854" i="3"/>
  <c r="M854" i="3"/>
  <c r="V853" i="3"/>
  <c r="M853" i="3"/>
  <c r="V852" i="3"/>
  <c r="M852" i="3"/>
  <c r="V851" i="3"/>
  <c r="M851" i="3"/>
  <c r="V850" i="3"/>
  <c r="M850" i="3"/>
  <c r="V849" i="3"/>
  <c r="M849" i="3"/>
  <c r="V848" i="3"/>
  <c r="M848" i="3"/>
  <c r="V847" i="3"/>
  <c r="M847" i="3"/>
  <c r="V846" i="3"/>
  <c r="M846" i="3"/>
  <c r="M845" i="3"/>
  <c r="K845" i="3"/>
  <c r="V845" i="3" s="1"/>
  <c r="M844" i="3"/>
  <c r="K844" i="3"/>
  <c r="V844" i="3" s="1"/>
  <c r="M843" i="3"/>
  <c r="K843" i="3"/>
  <c r="V843" i="3" s="1"/>
  <c r="M842" i="3"/>
  <c r="K842" i="3"/>
  <c r="V842" i="3" s="1"/>
  <c r="M841" i="3"/>
  <c r="K841" i="3"/>
  <c r="V841" i="3" s="1"/>
  <c r="M840" i="3"/>
  <c r="K840" i="3"/>
  <c r="V840" i="3" s="1"/>
  <c r="M839" i="3"/>
  <c r="K839" i="3"/>
  <c r="V839" i="3" s="1"/>
  <c r="M838" i="3"/>
  <c r="K838" i="3"/>
  <c r="V838" i="3" s="1"/>
  <c r="M837" i="3"/>
  <c r="K837" i="3"/>
  <c r="V837" i="3" s="1"/>
  <c r="M836" i="3"/>
  <c r="K836" i="3"/>
  <c r="V836" i="3" s="1"/>
  <c r="M835" i="3"/>
  <c r="K835" i="3"/>
  <c r="V835" i="3" s="1"/>
  <c r="M834" i="3"/>
  <c r="K834" i="3"/>
  <c r="V834" i="3" s="1"/>
  <c r="M833" i="3"/>
  <c r="K833" i="3"/>
  <c r="V833" i="3" s="1"/>
  <c r="M832" i="3"/>
  <c r="K832" i="3"/>
  <c r="V832" i="3" s="1"/>
  <c r="M831" i="3"/>
  <c r="K831" i="3"/>
  <c r="V831" i="3" s="1"/>
  <c r="M830" i="3"/>
  <c r="K830" i="3"/>
  <c r="V830" i="3" s="1"/>
  <c r="M829" i="3"/>
  <c r="K829" i="3"/>
  <c r="V829" i="3" s="1"/>
  <c r="M828" i="3"/>
  <c r="K828" i="3"/>
  <c r="V828" i="3" s="1"/>
  <c r="M827" i="3"/>
  <c r="K827" i="3"/>
  <c r="V827" i="3" s="1"/>
  <c r="M826" i="3"/>
  <c r="K826" i="3"/>
  <c r="V826" i="3" s="1"/>
  <c r="M825" i="3"/>
  <c r="K825" i="3"/>
  <c r="V825" i="3" s="1"/>
  <c r="M824" i="3"/>
  <c r="K824" i="3"/>
  <c r="V824" i="3" s="1"/>
  <c r="M823" i="3"/>
  <c r="K823" i="3"/>
  <c r="V823" i="3" s="1"/>
  <c r="M822" i="3"/>
  <c r="K822" i="3"/>
  <c r="V822" i="3" s="1"/>
  <c r="M821" i="3"/>
  <c r="K821" i="3"/>
  <c r="V821" i="3" s="1"/>
  <c r="M820" i="3"/>
  <c r="K820" i="3"/>
  <c r="V820" i="3" s="1"/>
  <c r="M819" i="3"/>
  <c r="K819" i="3"/>
  <c r="V819" i="3" s="1"/>
  <c r="M818" i="3"/>
  <c r="K818" i="3"/>
  <c r="V818" i="3" s="1"/>
  <c r="M817" i="3"/>
  <c r="K817" i="3"/>
  <c r="V817" i="3" s="1"/>
  <c r="M816" i="3"/>
  <c r="K816" i="3"/>
  <c r="V816" i="3" s="1"/>
  <c r="M815" i="3"/>
  <c r="K815" i="3"/>
  <c r="V815" i="3" s="1"/>
  <c r="M814" i="3"/>
  <c r="K814" i="3"/>
  <c r="V814" i="3" s="1"/>
  <c r="M813" i="3"/>
  <c r="K813" i="3"/>
  <c r="V813" i="3" s="1"/>
  <c r="M812" i="3"/>
  <c r="K812" i="3"/>
  <c r="V812" i="3" s="1"/>
  <c r="M811" i="3"/>
  <c r="K811" i="3"/>
  <c r="V811" i="3" s="1"/>
  <c r="M810" i="3"/>
  <c r="K810" i="3"/>
  <c r="V810" i="3" s="1"/>
  <c r="M809" i="3"/>
  <c r="K809" i="3"/>
  <c r="V809" i="3" s="1"/>
  <c r="M808" i="3"/>
  <c r="K808" i="3"/>
  <c r="V808" i="3" s="1"/>
  <c r="M807" i="3"/>
  <c r="K807" i="3"/>
  <c r="V807" i="3" s="1"/>
  <c r="M806" i="3"/>
  <c r="K806" i="3"/>
  <c r="V806" i="3" s="1"/>
  <c r="M805" i="3"/>
  <c r="K805" i="3"/>
  <c r="V805" i="3" s="1"/>
  <c r="M804" i="3"/>
  <c r="K804" i="3"/>
  <c r="V804" i="3" s="1"/>
  <c r="M803" i="3"/>
  <c r="K803" i="3"/>
  <c r="V803" i="3" s="1"/>
  <c r="M802" i="3"/>
  <c r="K802" i="3"/>
  <c r="V802" i="3" s="1"/>
  <c r="M801" i="3"/>
  <c r="K801" i="3"/>
  <c r="V801" i="3" s="1"/>
  <c r="M800" i="3"/>
  <c r="K800" i="3"/>
  <c r="V800" i="3" s="1"/>
  <c r="M799" i="3"/>
  <c r="K799" i="3"/>
  <c r="V799" i="3" s="1"/>
  <c r="M798" i="3"/>
  <c r="K798" i="3"/>
  <c r="V798" i="3" s="1"/>
  <c r="M797" i="3"/>
  <c r="K797" i="3"/>
  <c r="V797" i="3" s="1"/>
  <c r="M796" i="3"/>
  <c r="K796" i="3"/>
  <c r="V796" i="3" s="1"/>
  <c r="M795" i="3"/>
  <c r="K795" i="3"/>
  <c r="V795" i="3" s="1"/>
  <c r="M794" i="3"/>
  <c r="K794" i="3"/>
  <c r="V794" i="3" s="1"/>
  <c r="M793" i="3"/>
  <c r="K793" i="3"/>
  <c r="V793" i="3" s="1"/>
  <c r="M792" i="3"/>
  <c r="K792" i="3"/>
  <c r="V792" i="3" s="1"/>
  <c r="M791" i="3"/>
  <c r="K791" i="3"/>
  <c r="V791" i="3" s="1"/>
  <c r="M790" i="3"/>
  <c r="K790" i="3"/>
  <c r="V790" i="3" s="1"/>
  <c r="V789" i="3"/>
  <c r="M789" i="3"/>
  <c r="K789" i="3"/>
  <c r="M788" i="3"/>
  <c r="K788" i="3"/>
  <c r="V788" i="3" s="1"/>
  <c r="M787" i="3"/>
  <c r="K787" i="3"/>
  <c r="V787" i="3" s="1"/>
  <c r="M786" i="3"/>
  <c r="K786" i="3"/>
  <c r="M785" i="3"/>
  <c r="K785" i="3"/>
  <c r="V785" i="3" s="1"/>
  <c r="S784" i="3"/>
  <c r="R784" i="3"/>
  <c r="Q784" i="3"/>
  <c r="P784" i="3"/>
  <c r="O784" i="3"/>
  <c r="N784" i="3"/>
  <c r="L784" i="3"/>
  <c r="J784" i="3"/>
  <c r="I784" i="3"/>
  <c r="H784" i="3"/>
  <c r="G784" i="3"/>
  <c r="V783" i="3"/>
  <c r="M783" i="3"/>
  <c r="M781" i="3" s="1"/>
  <c r="V782" i="3"/>
  <c r="M782" i="3"/>
  <c r="S781" i="3"/>
  <c r="S779" i="3" s="1"/>
  <c r="L781" i="3"/>
  <c r="K781" i="3"/>
  <c r="J781" i="3"/>
  <c r="J779" i="3" s="1"/>
  <c r="I781" i="3"/>
  <c r="H781" i="3"/>
  <c r="H779" i="3" s="1"/>
  <c r="G781" i="3"/>
  <c r="V781" i="3" s="1"/>
  <c r="V780" i="3"/>
  <c r="M780" i="3"/>
  <c r="G779" i="3"/>
  <c r="M778" i="3"/>
  <c r="K778" i="3"/>
  <c r="V778" i="3" s="1"/>
  <c r="M777" i="3"/>
  <c r="K777" i="3"/>
  <c r="V777" i="3" s="1"/>
  <c r="V776" i="3"/>
  <c r="M776" i="3"/>
  <c r="K776" i="3"/>
  <c r="M775" i="3"/>
  <c r="K775" i="3"/>
  <c r="V775" i="3" s="1"/>
  <c r="M774" i="3"/>
  <c r="K774" i="3"/>
  <c r="V774" i="3" s="1"/>
  <c r="V773" i="3"/>
  <c r="M773" i="3"/>
  <c r="K773" i="3"/>
  <c r="V772" i="3"/>
  <c r="M772" i="3"/>
  <c r="K772" i="3"/>
  <c r="M771" i="3"/>
  <c r="K771" i="3"/>
  <c r="V771" i="3" s="1"/>
  <c r="M770" i="3"/>
  <c r="K770" i="3"/>
  <c r="V770" i="3" s="1"/>
  <c r="M769" i="3"/>
  <c r="K769" i="3"/>
  <c r="V769" i="3" s="1"/>
  <c r="M768" i="3"/>
  <c r="K768" i="3"/>
  <c r="V768" i="3" s="1"/>
  <c r="M767" i="3"/>
  <c r="K767" i="3"/>
  <c r="V767" i="3" s="1"/>
  <c r="M766" i="3"/>
  <c r="K766" i="3"/>
  <c r="V766" i="3" s="1"/>
  <c r="M765" i="3"/>
  <c r="K765" i="3"/>
  <c r="V765" i="3" s="1"/>
  <c r="V764" i="3"/>
  <c r="M764" i="3"/>
  <c r="K764" i="3"/>
  <c r="M763" i="3"/>
  <c r="K763" i="3"/>
  <c r="V763" i="3" s="1"/>
  <c r="M762" i="3"/>
  <c r="K762" i="3"/>
  <c r="V762" i="3" s="1"/>
  <c r="V761" i="3"/>
  <c r="M761" i="3"/>
  <c r="K761" i="3"/>
  <c r="M760" i="3"/>
  <c r="K760" i="3"/>
  <c r="V760" i="3" s="1"/>
  <c r="M759" i="3"/>
  <c r="K759" i="3"/>
  <c r="V759" i="3" s="1"/>
  <c r="M758" i="3"/>
  <c r="K758" i="3"/>
  <c r="V758" i="3" s="1"/>
  <c r="M757" i="3"/>
  <c r="K757" i="3"/>
  <c r="V757" i="3" s="1"/>
  <c r="V756" i="3"/>
  <c r="M756" i="3"/>
  <c r="K756" i="3"/>
  <c r="S755" i="3"/>
  <c r="M755" i="3"/>
  <c r="G755" i="3"/>
  <c r="G754" i="3"/>
  <c r="M753" i="3"/>
  <c r="G753" i="3"/>
  <c r="V753" i="3" s="1"/>
  <c r="M752" i="3"/>
  <c r="G752" i="3"/>
  <c r="V752" i="3" s="1"/>
  <c r="M751" i="3"/>
  <c r="G751" i="3"/>
  <c r="V751" i="3" s="1"/>
  <c r="M750" i="3"/>
  <c r="G750" i="3"/>
  <c r="V750" i="3" s="1"/>
  <c r="M749" i="3"/>
  <c r="G749" i="3"/>
  <c r="V749" i="3" s="1"/>
  <c r="M748" i="3"/>
  <c r="G748" i="3"/>
  <c r="V748" i="3" s="1"/>
  <c r="M747" i="3"/>
  <c r="G747" i="3"/>
  <c r="V747" i="3" s="1"/>
  <c r="M746" i="3"/>
  <c r="G746" i="3"/>
  <c r="V746" i="3" s="1"/>
  <c r="M745" i="3"/>
  <c r="G745" i="3"/>
  <c r="V745" i="3" s="1"/>
  <c r="M744" i="3"/>
  <c r="G744" i="3"/>
  <c r="V744" i="3" s="1"/>
  <c r="M743" i="3"/>
  <c r="G743" i="3"/>
  <c r="V743" i="3" s="1"/>
  <c r="M742" i="3"/>
  <c r="G742" i="3"/>
  <c r="V742" i="3" s="1"/>
  <c r="V741" i="3"/>
  <c r="M741" i="3"/>
  <c r="G741" i="3"/>
  <c r="M740" i="3"/>
  <c r="G740" i="3"/>
  <c r="V740" i="3" s="1"/>
  <c r="M739" i="3"/>
  <c r="G739" i="3"/>
  <c r="V739" i="3" s="1"/>
  <c r="M738" i="3"/>
  <c r="G738" i="3"/>
  <c r="V738" i="3" s="1"/>
  <c r="M737" i="3"/>
  <c r="G737" i="3"/>
  <c r="V737" i="3" s="1"/>
  <c r="M736" i="3"/>
  <c r="G736" i="3"/>
  <c r="V736" i="3" s="1"/>
  <c r="M735" i="3"/>
  <c r="G735" i="3"/>
  <c r="V735" i="3" s="1"/>
  <c r="M734" i="3"/>
  <c r="G734" i="3"/>
  <c r="V734" i="3" s="1"/>
  <c r="M733" i="3"/>
  <c r="G733" i="3"/>
  <c r="V733" i="3" s="1"/>
  <c r="M732" i="3"/>
  <c r="G732" i="3"/>
  <c r="V732" i="3" s="1"/>
  <c r="M731" i="3"/>
  <c r="G731" i="3"/>
  <c r="V731" i="3" s="1"/>
  <c r="M730" i="3"/>
  <c r="G730" i="3"/>
  <c r="V730" i="3" s="1"/>
  <c r="M729" i="3"/>
  <c r="G729" i="3"/>
  <c r="V729" i="3" s="1"/>
  <c r="M728" i="3"/>
  <c r="G728" i="3"/>
  <c r="V728" i="3" s="1"/>
  <c r="M727" i="3"/>
  <c r="G727" i="3"/>
  <c r="V727" i="3" s="1"/>
  <c r="M726" i="3"/>
  <c r="G726" i="3"/>
  <c r="V726" i="3" s="1"/>
  <c r="V725" i="3"/>
  <c r="M725" i="3"/>
  <c r="G725" i="3"/>
  <c r="M724" i="3"/>
  <c r="G724" i="3"/>
  <c r="V724" i="3" s="1"/>
  <c r="V723" i="3"/>
  <c r="M723" i="3"/>
  <c r="V722" i="3"/>
  <c r="M722" i="3"/>
  <c r="G722" i="3"/>
  <c r="V721" i="3"/>
  <c r="M721" i="3"/>
  <c r="G721" i="3"/>
  <c r="V720" i="3"/>
  <c r="M720" i="3"/>
  <c r="M719" i="3"/>
  <c r="G719" i="3"/>
  <c r="V719" i="3" s="1"/>
  <c r="M718" i="3"/>
  <c r="G718" i="3"/>
  <c r="V717" i="3"/>
  <c r="M717" i="3"/>
  <c r="G717" i="3"/>
  <c r="V716" i="3"/>
  <c r="M716" i="3"/>
  <c r="G716" i="3"/>
  <c r="S715" i="3"/>
  <c r="R715" i="3"/>
  <c r="Q715" i="3"/>
  <c r="P715" i="3"/>
  <c r="O715" i="3"/>
  <c r="N715" i="3"/>
  <c r="L715" i="3"/>
  <c r="L712" i="3" s="1"/>
  <c r="L710" i="3" s="1"/>
  <c r="K715" i="3"/>
  <c r="K712" i="3" s="1"/>
  <c r="K710" i="3" s="1"/>
  <c r="J715" i="3"/>
  <c r="J712" i="3" s="1"/>
  <c r="J710" i="3" s="1"/>
  <c r="J499" i="3" s="1"/>
  <c r="I715" i="3"/>
  <c r="H715" i="3"/>
  <c r="H712" i="3" s="1"/>
  <c r="H710" i="3" s="1"/>
  <c r="V714" i="3"/>
  <c r="M714" i="3"/>
  <c r="V713" i="3"/>
  <c r="M713" i="3"/>
  <c r="S712" i="3"/>
  <c r="S710" i="3" s="1"/>
  <c r="S1381" i="3" s="1"/>
  <c r="M1381" i="3" s="1"/>
  <c r="I712" i="3"/>
  <c r="I710" i="3" s="1"/>
  <c r="V711" i="3"/>
  <c r="R710" i="3"/>
  <c r="Q710" i="3"/>
  <c r="P710" i="3"/>
  <c r="O710" i="3"/>
  <c r="N710" i="3"/>
  <c r="V709" i="3"/>
  <c r="M709" i="3"/>
  <c r="V708" i="3"/>
  <c r="M708" i="3"/>
  <c r="V707" i="3"/>
  <c r="M707" i="3"/>
  <c r="V706" i="3"/>
  <c r="M706" i="3"/>
  <c r="V705" i="3"/>
  <c r="M705" i="3"/>
  <c r="V704" i="3"/>
  <c r="M704" i="3"/>
  <c r="V703" i="3"/>
  <c r="M703" i="3"/>
  <c r="V702" i="3"/>
  <c r="M702" i="3"/>
  <c r="V701" i="3"/>
  <c r="M701" i="3"/>
  <c r="V700" i="3"/>
  <c r="M700" i="3"/>
  <c r="V699" i="3"/>
  <c r="M699" i="3"/>
  <c r="V698" i="3"/>
  <c r="M698" i="3"/>
  <c r="V697" i="3"/>
  <c r="M697" i="3"/>
  <c r="S696" i="3"/>
  <c r="M696" i="3" s="1"/>
  <c r="L696" i="3"/>
  <c r="L686" i="3" s="1"/>
  <c r="L684" i="3" s="1"/>
  <c r="K696" i="3"/>
  <c r="G696" i="3"/>
  <c r="V696" i="3" s="1"/>
  <c r="V695" i="3"/>
  <c r="M695" i="3"/>
  <c r="V694" i="3"/>
  <c r="M694" i="3"/>
  <c r="V693" i="3"/>
  <c r="M693" i="3"/>
  <c r="S692" i="3"/>
  <c r="M692" i="3" s="1"/>
  <c r="L692" i="3"/>
  <c r="K692" i="3"/>
  <c r="G692" i="3"/>
  <c r="V692" i="3" s="1"/>
  <c r="V691" i="3"/>
  <c r="M691" i="3"/>
  <c r="V690" i="3"/>
  <c r="M690" i="3"/>
  <c r="V689" i="3"/>
  <c r="M689" i="3"/>
  <c r="V688" i="3"/>
  <c r="M688" i="3"/>
  <c r="S687" i="3"/>
  <c r="M687" i="3" s="1"/>
  <c r="L687" i="3"/>
  <c r="K687" i="3"/>
  <c r="K686" i="3" s="1"/>
  <c r="K684" i="3" s="1"/>
  <c r="G687" i="3"/>
  <c r="S686" i="3"/>
  <c r="S684" i="3" s="1"/>
  <c r="S1380" i="3" s="1"/>
  <c r="M1380" i="3" s="1"/>
  <c r="V685" i="3"/>
  <c r="V683" i="3"/>
  <c r="M683" i="3"/>
  <c r="V682" i="3"/>
  <c r="M682" i="3"/>
  <c r="V681" i="3"/>
  <c r="M681" i="3"/>
  <c r="V680" i="3"/>
  <c r="M680" i="3"/>
  <c r="V679" i="3"/>
  <c r="M679" i="3"/>
  <c r="V678" i="3"/>
  <c r="M678" i="3"/>
  <c r="V677" i="3"/>
  <c r="M677" i="3"/>
  <c r="V676" i="3"/>
  <c r="M676" i="3"/>
  <c r="V675" i="3"/>
  <c r="M675" i="3"/>
  <c r="V674" i="3"/>
  <c r="M674" i="3"/>
  <c r="V673" i="3"/>
  <c r="M673" i="3"/>
  <c r="V672" i="3"/>
  <c r="M672" i="3"/>
  <c r="V671" i="3"/>
  <c r="M671" i="3"/>
  <c r="V670" i="3"/>
  <c r="M670" i="3"/>
  <c r="V669" i="3"/>
  <c r="M669" i="3"/>
  <c r="V668" i="3"/>
  <c r="M668" i="3"/>
  <c r="V667" i="3"/>
  <c r="M667" i="3"/>
  <c r="V666" i="3"/>
  <c r="M666" i="3"/>
  <c r="V665" i="3"/>
  <c r="M665" i="3"/>
  <c r="V664" i="3"/>
  <c r="M664" i="3"/>
  <c r="V663" i="3"/>
  <c r="M663" i="3"/>
  <c r="V662" i="3"/>
  <c r="M662" i="3"/>
  <c r="V661" i="3"/>
  <c r="M661" i="3"/>
  <c r="V660" i="3"/>
  <c r="M660" i="3"/>
  <c r="V659" i="3"/>
  <c r="M659" i="3"/>
  <c r="V658" i="3"/>
  <c r="M658" i="3"/>
  <c r="V657" i="3"/>
  <c r="M657" i="3"/>
  <c r="V656" i="3"/>
  <c r="M656" i="3"/>
  <c r="V655" i="3"/>
  <c r="M655" i="3"/>
  <c r="V654" i="3"/>
  <c r="M654" i="3"/>
  <c r="V653" i="3"/>
  <c r="M653" i="3"/>
  <c r="V652" i="3"/>
  <c r="M652" i="3"/>
  <c r="V651" i="3"/>
  <c r="M651" i="3"/>
  <c r="V650" i="3"/>
  <c r="M650" i="3"/>
  <c r="V649" i="3"/>
  <c r="M649" i="3"/>
  <c r="V648" i="3"/>
  <c r="M648" i="3"/>
  <c r="V647" i="3"/>
  <c r="M647" i="3"/>
  <c r="V646" i="3"/>
  <c r="M646" i="3"/>
  <c r="V645" i="3"/>
  <c r="M645" i="3"/>
  <c r="V644" i="3"/>
  <c r="M644" i="3"/>
  <c r="V643" i="3"/>
  <c r="M643" i="3"/>
  <c r="V642" i="3"/>
  <c r="M642" i="3"/>
  <c r="V641" i="3"/>
  <c r="M641" i="3"/>
  <c r="V640" i="3"/>
  <c r="M640" i="3"/>
  <c r="V639" i="3"/>
  <c r="M639" i="3"/>
  <c r="V638" i="3"/>
  <c r="M638" i="3"/>
  <c r="V637" i="3"/>
  <c r="M637" i="3"/>
  <c r="V636" i="3"/>
  <c r="M636" i="3"/>
  <c r="V635" i="3"/>
  <c r="M635" i="3"/>
  <c r="V634" i="3"/>
  <c r="M634" i="3"/>
  <c r="V633" i="3"/>
  <c r="M633" i="3"/>
  <c r="V632" i="3"/>
  <c r="M632" i="3"/>
  <c r="V631" i="3"/>
  <c r="M631" i="3"/>
  <c r="V630" i="3"/>
  <c r="M630" i="3"/>
  <c r="V629" i="3"/>
  <c r="M629" i="3"/>
  <c r="V628" i="3"/>
  <c r="M628" i="3"/>
  <c r="V627" i="3"/>
  <c r="M627" i="3"/>
  <c r="V626" i="3"/>
  <c r="M626" i="3"/>
  <c r="V625" i="3"/>
  <c r="M625" i="3"/>
  <c r="V624" i="3"/>
  <c r="M624" i="3"/>
  <c r="V623" i="3"/>
  <c r="M623" i="3"/>
  <c r="V622" i="3"/>
  <c r="M622" i="3"/>
  <c r="V621" i="3"/>
  <c r="M621" i="3"/>
  <c r="V620" i="3"/>
  <c r="M620" i="3"/>
  <c r="V619" i="3"/>
  <c r="M619" i="3"/>
  <c r="V618" i="3"/>
  <c r="M618" i="3"/>
  <c r="V617" i="3"/>
  <c r="M617" i="3"/>
  <c r="V616" i="3"/>
  <c r="M616" i="3"/>
  <c r="V615" i="3"/>
  <c r="M615" i="3"/>
  <c r="V614" i="3"/>
  <c r="M614" i="3"/>
  <c r="V613" i="3"/>
  <c r="M613" i="3"/>
  <c r="V612" i="3"/>
  <c r="M612" i="3"/>
  <c r="V611" i="3"/>
  <c r="M611" i="3"/>
  <c r="V610" i="3"/>
  <c r="M610" i="3"/>
  <c r="V609" i="3"/>
  <c r="M609" i="3"/>
  <c r="V608" i="3"/>
  <c r="M608" i="3"/>
  <c r="S607" i="3"/>
  <c r="M607" i="3" s="1"/>
  <c r="L607" i="3"/>
  <c r="K607" i="3"/>
  <c r="V607" i="3" s="1"/>
  <c r="G607" i="3"/>
  <c r="G595" i="3" s="1"/>
  <c r="V606" i="3"/>
  <c r="M606" i="3"/>
  <c r="V605" i="3"/>
  <c r="M605" i="3"/>
  <c r="V604" i="3"/>
  <c r="M604" i="3"/>
  <c r="V603" i="3"/>
  <c r="M603" i="3"/>
  <c r="V602" i="3"/>
  <c r="M602" i="3"/>
  <c r="V601" i="3"/>
  <c r="M601" i="3"/>
  <c r="V600" i="3"/>
  <c r="M600" i="3"/>
  <c r="V599" i="3"/>
  <c r="M599" i="3"/>
  <c r="V598" i="3"/>
  <c r="M598" i="3"/>
  <c r="V597" i="3"/>
  <c r="M597" i="3"/>
  <c r="S596" i="3"/>
  <c r="S595" i="3" s="1"/>
  <c r="M596" i="3"/>
  <c r="L596" i="3"/>
  <c r="K596" i="3"/>
  <c r="G596" i="3"/>
  <c r="V594" i="3"/>
  <c r="M594" i="3"/>
  <c r="V593" i="3"/>
  <c r="M593" i="3"/>
  <c r="V592" i="3"/>
  <c r="M592" i="3"/>
  <c r="V591" i="3"/>
  <c r="M591" i="3"/>
  <c r="V590" i="3"/>
  <c r="M590" i="3"/>
  <c r="V589" i="3"/>
  <c r="M589" i="3"/>
  <c r="V588" i="3"/>
  <c r="M588" i="3"/>
  <c r="V587" i="3"/>
  <c r="M587" i="3"/>
  <c r="V586" i="3"/>
  <c r="M586" i="3"/>
  <c r="V585" i="3"/>
  <c r="M585" i="3"/>
  <c r="V584" i="3"/>
  <c r="M584" i="3"/>
  <c r="V583" i="3"/>
  <c r="M583" i="3"/>
  <c r="V582" i="3"/>
  <c r="M582" i="3"/>
  <c r="V581" i="3"/>
  <c r="M581" i="3"/>
  <c r="V580" i="3"/>
  <c r="M580" i="3"/>
  <c r="V579" i="3"/>
  <c r="M579" i="3"/>
  <c r="V578" i="3"/>
  <c r="M578" i="3"/>
  <c r="V577" i="3"/>
  <c r="M577" i="3"/>
  <c r="V576" i="3"/>
  <c r="M576" i="3"/>
  <c r="V575" i="3"/>
  <c r="M575" i="3"/>
  <c r="V574" i="3"/>
  <c r="M574" i="3"/>
  <c r="V573" i="3"/>
  <c r="M573" i="3"/>
  <c r="V572" i="3"/>
  <c r="M572" i="3"/>
  <c r="V571" i="3"/>
  <c r="M571" i="3"/>
  <c r="V570" i="3"/>
  <c r="M570" i="3"/>
  <c r="V569" i="3"/>
  <c r="M569" i="3"/>
  <c r="V568" i="3"/>
  <c r="M568" i="3"/>
  <c r="V567" i="3"/>
  <c r="M567" i="3"/>
  <c r="V566" i="3"/>
  <c r="M566" i="3"/>
  <c r="V565" i="3"/>
  <c r="M565" i="3"/>
  <c r="V564" i="3"/>
  <c r="M564" i="3"/>
  <c r="V563" i="3"/>
  <c r="M563" i="3"/>
  <c r="V562" i="3"/>
  <c r="M562" i="3"/>
  <c r="V561" i="3"/>
  <c r="M561" i="3"/>
  <c r="V560" i="3"/>
  <c r="M560" i="3"/>
  <c r="V559" i="3"/>
  <c r="M559" i="3"/>
  <c r="V558" i="3"/>
  <c r="M558" i="3"/>
  <c r="V557" i="3"/>
  <c r="M557" i="3"/>
  <c r="V556" i="3"/>
  <c r="M556" i="3"/>
  <c r="V555" i="3"/>
  <c r="M555" i="3"/>
  <c r="V554" i="3"/>
  <c r="M554" i="3"/>
  <c r="V553" i="3"/>
  <c r="M553" i="3"/>
  <c r="V552" i="3"/>
  <c r="M552" i="3"/>
  <c r="V551" i="3"/>
  <c r="M551" i="3"/>
  <c r="V550" i="3"/>
  <c r="M550" i="3"/>
  <c r="V549" i="3"/>
  <c r="M549" i="3"/>
  <c r="V548" i="3"/>
  <c r="M548" i="3"/>
  <c r="V547" i="3"/>
  <c r="M547" i="3"/>
  <c r="V546" i="3"/>
  <c r="M546" i="3"/>
  <c r="V545" i="3"/>
  <c r="M545" i="3"/>
  <c r="V544" i="3"/>
  <c r="M544" i="3"/>
  <c r="V543" i="3"/>
  <c r="M543" i="3"/>
  <c r="V542" i="3"/>
  <c r="M542" i="3"/>
  <c r="V541" i="3"/>
  <c r="M541" i="3"/>
  <c r="V540" i="3"/>
  <c r="M540" i="3"/>
  <c r="V539" i="3"/>
  <c r="M539" i="3"/>
  <c r="V538" i="3"/>
  <c r="M538" i="3"/>
  <c r="V537" i="3"/>
  <c r="M537" i="3"/>
  <c r="V536" i="3"/>
  <c r="M536" i="3"/>
  <c r="V535" i="3"/>
  <c r="M535" i="3"/>
  <c r="V534" i="3"/>
  <c r="M534" i="3"/>
  <c r="V533" i="3"/>
  <c r="M533" i="3"/>
  <c r="V532" i="3"/>
  <c r="M532" i="3"/>
  <c r="V531" i="3"/>
  <c r="M531" i="3"/>
  <c r="V530" i="3"/>
  <c r="M530" i="3"/>
  <c r="V529" i="3"/>
  <c r="M529" i="3"/>
  <c r="V528" i="3"/>
  <c r="M528" i="3"/>
  <c r="V527" i="3"/>
  <c r="M527" i="3"/>
  <c r="V526" i="3"/>
  <c r="M526" i="3"/>
  <c r="V525" i="3"/>
  <c r="M525" i="3"/>
  <c r="V524" i="3"/>
  <c r="M524" i="3"/>
  <c r="V523" i="3"/>
  <c r="M523" i="3"/>
  <c r="V522" i="3"/>
  <c r="M522" i="3"/>
  <c r="V521" i="3"/>
  <c r="M521" i="3"/>
  <c r="V520" i="3"/>
  <c r="M520" i="3"/>
  <c r="V519" i="3"/>
  <c r="M519" i="3"/>
  <c r="V518" i="3"/>
  <c r="M518" i="3"/>
  <c r="V517" i="3"/>
  <c r="M517" i="3"/>
  <c r="V516" i="3"/>
  <c r="M516" i="3"/>
  <c r="V515" i="3"/>
  <c r="M515" i="3"/>
  <c r="S514" i="3"/>
  <c r="M514" i="3" s="1"/>
  <c r="L514" i="3"/>
  <c r="K514" i="3"/>
  <c r="G514" i="3"/>
  <c r="G513" i="3" s="1"/>
  <c r="V512" i="3"/>
  <c r="M511" i="3"/>
  <c r="K511" i="3"/>
  <c r="V511" i="3" s="1"/>
  <c r="V510" i="3"/>
  <c r="M510" i="3"/>
  <c r="V509" i="3"/>
  <c r="S509" i="3"/>
  <c r="R509" i="3"/>
  <c r="Q509" i="3"/>
  <c r="P509" i="3"/>
  <c r="O509" i="3"/>
  <c r="N509" i="3"/>
  <c r="V508" i="3"/>
  <c r="M507" i="3"/>
  <c r="K507" i="3"/>
  <c r="V507" i="3" s="1"/>
  <c r="V506" i="3"/>
  <c r="M506" i="3"/>
  <c r="M505" i="3"/>
  <c r="G505" i="3"/>
  <c r="V505" i="3" s="1"/>
  <c r="M504" i="3"/>
  <c r="K504" i="3"/>
  <c r="V504" i="3" s="1"/>
  <c r="V503" i="3"/>
  <c r="M503" i="3"/>
  <c r="V502" i="3"/>
  <c r="M502" i="3"/>
  <c r="S501" i="3"/>
  <c r="S500" i="3" s="1"/>
  <c r="R501" i="3"/>
  <c r="Q501" i="3"/>
  <c r="P501" i="3"/>
  <c r="O501" i="3"/>
  <c r="N501" i="3"/>
  <c r="L501" i="3"/>
  <c r="L500" i="3" s="1"/>
  <c r="J501" i="3"/>
  <c r="I501" i="3"/>
  <c r="I500" i="3" s="1"/>
  <c r="H501" i="3"/>
  <c r="R500" i="3"/>
  <c r="Q500" i="3"/>
  <c r="P500" i="3"/>
  <c r="O500" i="3"/>
  <c r="O499" i="3" s="1"/>
  <c r="N500" i="3"/>
  <c r="N499" i="3" s="1"/>
  <c r="K500" i="3"/>
  <c r="J500" i="3"/>
  <c r="H500" i="3"/>
  <c r="G500" i="3"/>
  <c r="R499" i="3"/>
  <c r="P499" i="3"/>
  <c r="M498" i="3"/>
  <c r="G498" i="3"/>
  <c r="V498" i="3" s="1"/>
  <c r="V497" i="3"/>
  <c r="M497" i="3"/>
  <c r="G497" i="3"/>
  <c r="M496" i="3"/>
  <c r="G496" i="3"/>
  <c r="V496" i="3" s="1"/>
  <c r="M495" i="3"/>
  <c r="G495" i="3"/>
  <c r="V495" i="3" s="1"/>
  <c r="M494" i="3"/>
  <c r="G494" i="3"/>
  <c r="V494" i="3" s="1"/>
  <c r="V493" i="3"/>
  <c r="M493" i="3"/>
  <c r="G493" i="3"/>
  <c r="M492" i="3"/>
  <c r="G492" i="3"/>
  <c r="V492" i="3" s="1"/>
  <c r="M491" i="3"/>
  <c r="G491" i="3"/>
  <c r="V491" i="3" s="1"/>
  <c r="M490" i="3"/>
  <c r="G490" i="3"/>
  <c r="V490" i="3" s="1"/>
  <c r="M489" i="3"/>
  <c r="G489" i="3"/>
  <c r="V489" i="3" s="1"/>
  <c r="M488" i="3"/>
  <c r="G488" i="3"/>
  <c r="V488" i="3" s="1"/>
  <c r="M487" i="3"/>
  <c r="G487" i="3"/>
  <c r="V487" i="3" s="1"/>
  <c r="M486" i="3"/>
  <c r="G486" i="3"/>
  <c r="V486" i="3" s="1"/>
  <c r="V485" i="3"/>
  <c r="M485" i="3"/>
  <c r="G485" i="3"/>
  <c r="M484" i="3"/>
  <c r="G484" i="3"/>
  <c r="V484" i="3" s="1"/>
  <c r="M483" i="3"/>
  <c r="G483" i="3"/>
  <c r="V483" i="3" s="1"/>
  <c r="M482" i="3"/>
  <c r="G482" i="3"/>
  <c r="T481" i="3"/>
  <c r="S481" i="3"/>
  <c r="R481" i="3"/>
  <c r="Q481" i="3"/>
  <c r="P481" i="3"/>
  <c r="O481" i="3"/>
  <c r="N481" i="3"/>
  <c r="L481" i="3"/>
  <c r="K481" i="3"/>
  <c r="J481" i="3"/>
  <c r="I481" i="3"/>
  <c r="H481" i="3"/>
  <c r="F481" i="3"/>
  <c r="S480" i="3"/>
  <c r="S478" i="3" s="1"/>
  <c r="G480" i="3"/>
  <c r="V480" i="3" s="1"/>
  <c r="V479" i="3"/>
  <c r="M479" i="3"/>
  <c r="G479" i="3"/>
  <c r="G478" i="3" s="1"/>
  <c r="V478" i="3" s="1"/>
  <c r="T478" i="3"/>
  <c r="R478" i="3"/>
  <c r="Q478" i="3"/>
  <c r="P478" i="3"/>
  <c r="O478" i="3"/>
  <c r="N478" i="3"/>
  <c r="L478" i="3"/>
  <c r="K478" i="3"/>
  <c r="K475" i="3" s="1"/>
  <c r="J478" i="3"/>
  <c r="I478" i="3"/>
  <c r="H478" i="3"/>
  <c r="M477" i="3"/>
  <c r="M476" i="3" s="1"/>
  <c r="G477" i="3"/>
  <c r="V477" i="3" s="1"/>
  <c r="T476" i="3"/>
  <c r="S476" i="3"/>
  <c r="R476" i="3"/>
  <c r="Q476" i="3"/>
  <c r="Q475" i="3" s="1"/>
  <c r="Q474" i="3" s="1"/>
  <c r="P476" i="3"/>
  <c r="P475" i="3" s="1"/>
  <c r="P474" i="3" s="1"/>
  <c r="O476" i="3"/>
  <c r="N476" i="3"/>
  <c r="N475" i="3" s="1"/>
  <c r="N474" i="3" s="1"/>
  <c r="L476" i="3"/>
  <c r="K476" i="3"/>
  <c r="J476" i="3"/>
  <c r="I476" i="3"/>
  <c r="H476" i="3"/>
  <c r="H475" i="3" s="1"/>
  <c r="H474" i="3" s="1"/>
  <c r="F476" i="3"/>
  <c r="F475" i="3" s="1"/>
  <c r="F474" i="3" s="1"/>
  <c r="T475" i="3"/>
  <c r="T474" i="3" s="1"/>
  <c r="S475" i="3"/>
  <c r="S474" i="3" s="1"/>
  <c r="J475" i="3"/>
  <c r="J474" i="3" s="1"/>
  <c r="K474" i="3"/>
  <c r="V473" i="3"/>
  <c r="S473" i="3"/>
  <c r="M473" i="3" s="1"/>
  <c r="M472" i="3" s="1"/>
  <c r="M471" i="3" s="1"/>
  <c r="M470" i="3" s="1"/>
  <c r="T472" i="3"/>
  <c r="T471" i="3" s="1"/>
  <c r="T470" i="3" s="1"/>
  <c r="S472" i="3"/>
  <c r="R472" i="3"/>
  <c r="R471" i="3" s="1"/>
  <c r="R470" i="3" s="1"/>
  <c r="Q472" i="3"/>
  <c r="P472" i="3"/>
  <c r="P471" i="3" s="1"/>
  <c r="P470" i="3" s="1"/>
  <c r="O472" i="3"/>
  <c r="O471" i="3" s="1"/>
  <c r="O470" i="3" s="1"/>
  <c r="N472" i="3"/>
  <c r="N471" i="3" s="1"/>
  <c r="N470" i="3" s="1"/>
  <c r="L472" i="3"/>
  <c r="L471" i="3" s="1"/>
  <c r="L470" i="3" s="1"/>
  <c r="K472" i="3"/>
  <c r="J472" i="3"/>
  <c r="J471" i="3" s="1"/>
  <c r="J470" i="3" s="1"/>
  <c r="I472" i="3"/>
  <c r="I471" i="3" s="1"/>
  <c r="I470" i="3" s="1"/>
  <c r="H472" i="3"/>
  <c r="H471" i="3" s="1"/>
  <c r="H470" i="3" s="1"/>
  <c r="G472" i="3"/>
  <c r="S471" i="3"/>
  <c r="S470" i="3" s="1"/>
  <c r="Q471" i="3"/>
  <c r="K471" i="3"/>
  <c r="K470" i="3" s="1"/>
  <c r="G471" i="3"/>
  <c r="G470" i="3" s="1"/>
  <c r="F471" i="3"/>
  <c r="Q470" i="3"/>
  <c r="F470" i="3"/>
  <c r="M469" i="3"/>
  <c r="G469" i="3"/>
  <c r="G461" i="3" s="1"/>
  <c r="V468" i="3"/>
  <c r="M468" i="3"/>
  <c r="V467" i="3"/>
  <c r="S467" i="3"/>
  <c r="M467" i="3" s="1"/>
  <c r="V466" i="3"/>
  <c r="M466" i="3"/>
  <c r="V465" i="3"/>
  <c r="M465" i="3"/>
  <c r="V464" i="3"/>
  <c r="M464" i="3"/>
  <c r="V463" i="3"/>
  <c r="S463" i="3"/>
  <c r="M463" i="3"/>
  <c r="V462" i="3"/>
  <c r="S462" i="3"/>
  <c r="M462" i="3" s="1"/>
  <c r="T461" i="3"/>
  <c r="T444" i="3" s="1"/>
  <c r="T429" i="3" s="1"/>
  <c r="S461" i="3"/>
  <c r="R461" i="3"/>
  <c r="P461" i="3"/>
  <c r="P444" i="3" s="1"/>
  <c r="P429" i="3" s="1"/>
  <c r="O461" i="3"/>
  <c r="N461" i="3"/>
  <c r="L461" i="3"/>
  <c r="K461" i="3"/>
  <c r="J461" i="3"/>
  <c r="I461" i="3"/>
  <c r="H461" i="3"/>
  <c r="F461" i="3"/>
  <c r="M460" i="3"/>
  <c r="K460" i="3"/>
  <c r="K455" i="3" s="1"/>
  <c r="V459" i="3"/>
  <c r="M459" i="3"/>
  <c r="G459" i="3"/>
  <c r="V458" i="3"/>
  <c r="M458" i="3"/>
  <c r="M457" i="3"/>
  <c r="G457" i="3"/>
  <c r="V457" i="3" s="1"/>
  <c r="M456" i="3"/>
  <c r="G456" i="3"/>
  <c r="V456" i="3" s="1"/>
  <c r="T455" i="3"/>
  <c r="S455" i="3"/>
  <c r="R455" i="3"/>
  <c r="R444" i="3" s="1"/>
  <c r="R429" i="3" s="1"/>
  <c r="Q455" i="3"/>
  <c r="Q444" i="3" s="1"/>
  <c r="P455" i="3"/>
  <c r="O455" i="3"/>
  <c r="N455" i="3"/>
  <c r="L455" i="3"/>
  <c r="J455" i="3"/>
  <c r="I455" i="3"/>
  <c r="H455" i="3"/>
  <c r="M454" i="3"/>
  <c r="G454" i="3"/>
  <c r="V454" i="3" s="1"/>
  <c r="M453" i="3"/>
  <c r="G453" i="3"/>
  <c r="V453" i="3" s="1"/>
  <c r="S452" i="3"/>
  <c r="S445" i="3" s="1"/>
  <c r="S444" i="3" s="1"/>
  <c r="G452" i="3"/>
  <c r="V452" i="3" s="1"/>
  <c r="V451" i="3"/>
  <c r="M451" i="3"/>
  <c r="G451" i="3"/>
  <c r="V450" i="3"/>
  <c r="M450" i="3"/>
  <c r="V449" i="3"/>
  <c r="M449" i="3"/>
  <c r="V448" i="3"/>
  <c r="M448" i="3"/>
  <c r="G448" i="3"/>
  <c r="M447" i="3"/>
  <c r="G447" i="3"/>
  <c r="V447" i="3" s="1"/>
  <c r="V446" i="3"/>
  <c r="M446" i="3"/>
  <c r="G446" i="3"/>
  <c r="T445" i="3"/>
  <c r="R445" i="3"/>
  <c r="Q445" i="3"/>
  <c r="P445" i="3"/>
  <c r="O445" i="3"/>
  <c r="O444" i="3" s="1"/>
  <c r="N445" i="3"/>
  <c r="L445" i="3"/>
  <c r="K445" i="3"/>
  <c r="J445" i="3"/>
  <c r="I445" i="3"/>
  <c r="H445" i="3"/>
  <c r="F445" i="3"/>
  <c r="M443" i="3"/>
  <c r="G443" i="3"/>
  <c r="V443" i="3" s="1"/>
  <c r="V442" i="3"/>
  <c r="M442" i="3"/>
  <c r="G442" i="3"/>
  <c r="M441" i="3"/>
  <c r="G441" i="3"/>
  <c r="V441" i="3" s="1"/>
  <c r="M440" i="3"/>
  <c r="G440" i="3"/>
  <c r="V440" i="3" s="1"/>
  <c r="M439" i="3"/>
  <c r="G439" i="3"/>
  <c r="V439" i="3" s="1"/>
  <c r="M438" i="3"/>
  <c r="G438" i="3"/>
  <c r="V438" i="3" s="1"/>
  <c r="M437" i="3"/>
  <c r="G437" i="3"/>
  <c r="V437" i="3" s="1"/>
  <c r="M436" i="3"/>
  <c r="G436" i="3"/>
  <c r="V436" i="3" s="1"/>
  <c r="V435" i="3"/>
  <c r="M435" i="3"/>
  <c r="G435" i="3"/>
  <c r="V434" i="3"/>
  <c r="M434" i="3"/>
  <c r="G434" i="3"/>
  <c r="V433" i="3"/>
  <c r="M433" i="3"/>
  <c r="G433" i="3"/>
  <c r="M432" i="3"/>
  <c r="G432" i="3"/>
  <c r="V431" i="3"/>
  <c r="M431" i="3"/>
  <c r="G431" i="3"/>
  <c r="T430" i="3"/>
  <c r="S430" i="3"/>
  <c r="S429" i="3" s="1"/>
  <c r="R430" i="3"/>
  <c r="Q430" i="3"/>
  <c r="P430" i="3"/>
  <c r="O430" i="3"/>
  <c r="N430" i="3"/>
  <c r="L430" i="3"/>
  <c r="K430" i="3"/>
  <c r="J430" i="3"/>
  <c r="I430" i="3"/>
  <c r="H430" i="3"/>
  <c r="M428" i="3"/>
  <c r="L428" i="3"/>
  <c r="I428" i="3"/>
  <c r="M427" i="3"/>
  <c r="M426" i="3" s="1"/>
  <c r="M425" i="3" s="1"/>
  <c r="M424" i="3" s="1"/>
  <c r="L427" i="3"/>
  <c r="G427" i="3"/>
  <c r="V427" i="3" s="1"/>
  <c r="T426" i="3"/>
  <c r="T425" i="3" s="1"/>
  <c r="T424" i="3" s="1"/>
  <c r="S426" i="3"/>
  <c r="S425" i="3" s="1"/>
  <c r="S424" i="3" s="1"/>
  <c r="R426" i="3"/>
  <c r="R425" i="3" s="1"/>
  <c r="R424" i="3" s="1"/>
  <c r="Q426" i="3"/>
  <c r="P426" i="3"/>
  <c r="P425" i="3" s="1"/>
  <c r="P424" i="3" s="1"/>
  <c r="O426" i="3"/>
  <c r="N426" i="3"/>
  <c r="N425" i="3" s="1"/>
  <c r="N424" i="3" s="1"/>
  <c r="L426" i="3"/>
  <c r="L425" i="3" s="1"/>
  <c r="L424" i="3" s="1"/>
  <c r="K426" i="3"/>
  <c r="J426" i="3"/>
  <c r="J425" i="3" s="1"/>
  <c r="J424" i="3" s="1"/>
  <c r="H426" i="3"/>
  <c r="H425" i="3" s="1"/>
  <c r="Q425" i="3"/>
  <c r="Q424" i="3" s="1"/>
  <c r="O425" i="3"/>
  <c r="O424" i="3" s="1"/>
  <c r="K425" i="3"/>
  <c r="K424" i="3" s="1"/>
  <c r="H424" i="3"/>
  <c r="M423" i="3"/>
  <c r="M422" i="3" s="1"/>
  <c r="M421" i="3" s="1"/>
  <c r="M420" i="3" s="1"/>
  <c r="G423" i="3"/>
  <c r="G422" i="3" s="1"/>
  <c r="T422" i="3"/>
  <c r="S422" i="3"/>
  <c r="R422" i="3"/>
  <c r="Q422" i="3"/>
  <c r="Q421" i="3" s="1"/>
  <c r="Q420" i="3" s="1"/>
  <c r="P422" i="3"/>
  <c r="P421" i="3" s="1"/>
  <c r="P420" i="3" s="1"/>
  <c r="O422" i="3"/>
  <c r="O421" i="3" s="1"/>
  <c r="O420" i="3" s="1"/>
  <c r="N422" i="3"/>
  <c r="N421" i="3" s="1"/>
  <c r="N420" i="3" s="1"/>
  <c r="L422" i="3"/>
  <c r="L421" i="3" s="1"/>
  <c r="L420" i="3" s="1"/>
  <c r="K422" i="3"/>
  <c r="K421" i="3" s="1"/>
  <c r="K420" i="3" s="1"/>
  <c r="J422" i="3"/>
  <c r="I422" i="3"/>
  <c r="I421" i="3" s="1"/>
  <c r="I420" i="3" s="1"/>
  <c r="H422" i="3"/>
  <c r="F422" i="3"/>
  <c r="T421" i="3"/>
  <c r="T420" i="3" s="1"/>
  <c r="S421" i="3"/>
  <c r="S420" i="3" s="1"/>
  <c r="R421" i="3"/>
  <c r="R420" i="3" s="1"/>
  <c r="J421" i="3"/>
  <c r="J420" i="3" s="1"/>
  <c r="H421" i="3"/>
  <c r="H420" i="3" s="1"/>
  <c r="S419" i="3"/>
  <c r="M419" i="3"/>
  <c r="G419" i="3"/>
  <c r="V419" i="3" s="1"/>
  <c r="V418" i="3"/>
  <c r="S418" i="3"/>
  <c r="M418" i="3" s="1"/>
  <c r="T417" i="3"/>
  <c r="S417" i="3"/>
  <c r="S414" i="3" s="1"/>
  <c r="S411" i="3" s="1"/>
  <c r="R417" i="3"/>
  <c r="Q417" i="3"/>
  <c r="P417" i="3"/>
  <c r="O417" i="3"/>
  <c r="N417" i="3"/>
  <c r="L417" i="3"/>
  <c r="K417" i="3"/>
  <c r="J417" i="3"/>
  <c r="I417" i="3"/>
  <c r="H417" i="3"/>
  <c r="F417" i="3"/>
  <c r="F414" i="3" s="1"/>
  <c r="F411" i="3" s="1"/>
  <c r="M416" i="3"/>
  <c r="M415" i="3" s="1"/>
  <c r="G416" i="3"/>
  <c r="G415" i="3" s="1"/>
  <c r="T415" i="3"/>
  <c r="T414" i="3" s="1"/>
  <c r="S415" i="3"/>
  <c r="R415" i="3"/>
  <c r="Q415" i="3"/>
  <c r="Q414" i="3" s="1"/>
  <c r="Q411" i="3" s="1"/>
  <c r="P415" i="3"/>
  <c r="O415" i="3"/>
  <c r="O414" i="3" s="1"/>
  <c r="O411" i="3" s="1"/>
  <c r="N415" i="3"/>
  <c r="N414" i="3" s="1"/>
  <c r="N411" i="3" s="1"/>
  <c r="L415" i="3"/>
  <c r="L414" i="3" s="1"/>
  <c r="K415" i="3"/>
  <c r="J415" i="3"/>
  <c r="I415" i="3"/>
  <c r="H415" i="3"/>
  <c r="H414" i="3" s="1"/>
  <c r="K414" i="3"/>
  <c r="V413" i="3"/>
  <c r="M413" i="3"/>
  <c r="M412" i="3" s="1"/>
  <c r="G413" i="3"/>
  <c r="G412" i="3" s="1"/>
  <c r="T412" i="3"/>
  <c r="T411" i="3" s="1"/>
  <c r="S412" i="3"/>
  <c r="R412" i="3"/>
  <c r="Q412" i="3"/>
  <c r="P412" i="3"/>
  <c r="O412" i="3"/>
  <c r="N412" i="3"/>
  <c r="L412" i="3"/>
  <c r="K412" i="3"/>
  <c r="J412" i="3"/>
  <c r="I412" i="3"/>
  <c r="H412" i="3"/>
  <c r="H411" i="3" s="1"/>
  <c r="M410" i="3"/>
  <c r="G410" i="3"/>
  <c r="V410" i="3" s="1"/>
  <c r="V409" i="3"/>
  <c r="M409" i="3"/>
  <c r="G409" i="3"/>
  <c r="M408" i="3"/>
  <c r="G408" i="3"/>
  <c r="V408" i="3" s="1"/>
  <c r="M407" i="3"/>
  <c r="G407" i="3"/>
  <c r="V407" i="3" s="1"/>
  <c r="S406" i="3"/>
  <c r="M406" i="3" s="1"/>
  <c r="G406" i="3"/>
  <c r="V406" i="3" s="1"/>
  <c r="V405" i="3"/>
  <c r="M405" i="3"/>
  <c r="V404" i="3"/>
  <c r="M404" i="3"/>
  <c r="V403" i="3"/>
  <c r="M403" i="3"/>
  <c r="M402" i="3"/>
  <c r="G402" i="3"/>
  <c r="V402" i="3" s="1"/>
  <c r="S401" i="3"/>
  <c r="M401" i="3"/>
  <c r="G401" i="3"/>
  <c r="V401" i="3" s="1"/>
  <c r="V400" i="3"/>
  <c r="M400" i="3"/>
  <c r="V399" i="3"/>
  <c r="M399" i="3"/>
  <c r="G399" i="3"/>
  <c r="M398" i="3"/>
  <c r="G398" i="3"/>
  <c r="V398" i="3" s="1"/>
  <c r="S397" i="3"/>
  <c r="M397" i="3" s="1"/>
  <c r="G397" i="3"/>
  <c r="V397" i="3" s="1"/>
  <c r="M396" i="3"/>
  <c r="G396" i="3"/>
  <c r="V396" i="3" s="1"/>
  <c r="V395" i="3"/>
  <c r="S395" i="3"/>
  <c r="M395" i="3"/>
  <c r="G395" i="3"/>
  <c r="M394" i="3"/>
  <c r="G394" i="3"/>
  <c r="V394" i="3" s="1"/>
  <c r="M393" i="3"/>
  <c r="G393" i="3"/>
  <c r="V393" i="3" s="1"/>
  <c r="M392" i="3"/>
  <c r="G392" i="3"/>
  <c r="V392" i="3" s="1"/>
  <c r="M391" i="3"/>
  <c r="G391" i="3"/>
  <c r="V391" i="3" s="1"/>
  <c r="S390" i="3"/>
  <c r="M390" i="3"/>
  <c r="G390" i="3"/>
  <c r="V390" i="3" s="1"/>
  <c r="V389" i="3"/>
  <c r="M389" i="3"/>
  <c r="G389" i="3"/>
  <c r="M388" i="3"/>
  <c r="G388" i="3"/>
  <c r="V388" i="3" s="1"/>
  <c r="V387" i="3"/>
  <c r="S387" i="3"/>
  <c r="M387" i="3"/>
  <c r="G387" i="3"/>
  <c r="V386" i="3"/>
  <c r="M386" i="3"/>
  <c r="G386" i="3"/>
  <c r="M385" i="3"/>
  <c r="G385" i="3"/>
  <c r="V385" i="3" s="1"/>
  <c r="S384" i="3"/>
  <c r="M384" i="3"/>
  <c r="G384" i="3"/>
  <c r="V384" i="3" s="1"/>
  <c r="S383" i="3"/>
  <c r="M383" i="3" s="1"/>
  <c r="M381" i="3" s="1"/>
  <c r="G383" i="3"/>
  <c r="V383" i="3" s="1"/>
  <c r="V382" i="3"/>
  <c r="M382" i="3"/>
  <c r="G382" i="3"/>
  <c r="T381" i="3"/>
  <c r="R381" i="3"/>
  <c r="Q381" i="3"/>
  <c r="P381" i="3"/>
  <c r="O381" i="3"/>
  <c r="N381" i="3"/>
  <c r="L381" i="3"/>
  <c r="K381" i="3"/>
  <c r="J381" i="3"/>
  <c r="I381" i="3"/>
  <c r="H381" i="3"/>
  <c r="F381" i="3"/>
  <c r="M380" i="3"/>
  <c r="G380" i="3"/>
  <c r="V380" i="3" s="1"/>
  <c r="M379" i="3"/>
  <c r="G379" i="3"/>
  <c r="V379" i="3" s="1"/>
  <c r="M378" i="3"/>
  <c r="G378" i="3"/>
  <c r="V378" i="3" s="1"/>
  <c r="V377" i="3"/>
  <c r="M377" i="3"/>
  <c r="G377" i="3"/>
  <c r="S376" i="3"/>
  <c r="G376" i="3"/>
  <c r="V376" i="3" s="1"/>
  <c r="M375" i="3"/>
  <c r="G375" i="3"/>
  <c r="V375" i="3" s="1"/>
  <c r="M374" i="3"/>
  <c r="G374" i="3"/>
  <c r="T373" i="3"/>
  <c r="R373" i="3"/>
  <c r="Q373" i="3"/>
  <c r="Q372" i="3" s="1"/>
  <c r="P373" i="3"/>
  <c r="O373" i="3"/>
  <c r="N373" i="3"/>
  <c r="L373" i="3"/>
  <c r="K373" i="3"/>
  <c r="J373" i="3"/>
  <c r="J372" i="3" s="1"/>
  <c r="I373" i="3"/>
  <c r="H373" i="3"/>
  <c r="H372" i="3" s="1"/>
  <c r="R372" i="3"/>
  <c r="K372" i="3"/>
  <c r="I372" i="3"/>
  <c r="I343" i="3" s="1"/>
  <c r="F372" i="3"/>
  <c r="F343" i="3" s="1"/>
  <c r="M371" i="3"/>
  <c r="G371" i="3"/>
  <c r="V371" i="3" s="1"/>
  <c r="M370" i="3"/>
  <c r="G370" i="3"/>
  <c r="V370" i="3" s="1"/>
  <c r="M369" i="3"/>
  <c r="G369" i="3"/>
  <c r="V369" i="3" s="1"/>
  <c r="M368" i="3"/>
  <c r="G368" i="3"/>
  <c r="V368" i="3" s="1"/>
  <c r="V367" i="3"/>
  <c r="M367" i="3"/>
  <c r="G367" i="3"/>
  <c r="V366" i="3"/>
  <c r="M366" i="3"/>
  <c r="G366" i="3"/>
  <c r="M365" i="3"/>
  <c r="G365" i="3"/>
  <c r="V365" i="3" s="1"/>
  <c r="M364" i="3"/>
  <c r="G364" i="3"/>
  <c r="V364" i="3" s="1"/>
  <c r="M363" i="3"/>
  <c r="G363" i="3"/>
  <c r="V363" i="3" s="1"/>
  <c r="M362" i="3"/>
  <c r="G362" i="3"/>
  <c r="V362" i="3" s="1"/>
  <c r="M361" i="3"/>
  <c r="G361" i="3"/>
  <c r="V361" i="3" s="1"/>
  <c r="M360" i="3"/>
  <c r="G360" i="3"/>
  <c r="V360" i="3" s="1"/>
  <c r="M359" i="3"/>
  <c r="G359" i="3"/>
  <c r="V359" i="3" s="1"/>
  <c r="M358" i="3"/>
  <c r="G358" i="3"/>
  <c r="V358" i="3" s="1"/>
  <c r="M357" i="3"/>
  <c r="G357" i="3"/>
  <c r="V357" i="3" s="1"/>
  <c r="M356" i="3"/>
  <c r="G356" i="3"/>
  <c r="V356" i="3" s="1"/>
  <c r="V355" i="3"/>
  <c r="M355" i="3"/>
  <c r="G355" i="3"/>
  <c r="V354" i="3"/>
  <c r="M354" i="3"/>
  <c r="G354" i="3"/>
  <c r="M353" i="3"/>
  <c r="G353" i="3"/>
  <c r="V353" i="3" s="1"/>
  <c r="M352" i="3"/>
  <c r="G352" i="3"/>
  <c r="V352" i="3" s="1"/>
  <c r="M351" i="3"/>
  <c r="G351" i="3"/>
  <c r="V351" i="3" s="1"/>
  <c r="M350" i="3"/>
  <c r="G350" i="3"/>
  <c r="V350" i="3" s="1"/>
  <c r="V349" i="3"/>
  <c r="M349" i="3"/>
  <c r="M348" i="3"/>
  <c r="G348" i="3"/>
  <c r="V348" i="3" s="1"/>
  <c r="M347" i="3"/>
  <c r="G347" i="3"/>
  <c r="V347" i="3" s="1"/>
  <c r="M346" i="3"/>
  <c r="G346" i="3"/>
  <c r="V346" i="3" s="1"/>
  <c r="M345" i="3"/>
  <c r="G345" i="3"/>
  <c r="V345" i="3" s="1"/>
  <c r="T344" i="3"/>
  <c r="S344" i="3"/>
  <c r="R344" i="3"/>
  <c r="R343" i="3" s="1"/>
  <c r="Q344" i="3"/>
  <c r="P344" i="3"/>
  <c r="O344" i="3"/>
  <c r="N344" i="3"/>
  <c r="L344" i="3"/>
  <c r="K344" i="3"/>
  <c r="K343" i="3" s="1"/>
  <c r="J344" i="3"/>
  <c r="I344" i="3"/>
  <c r="H344" i="3"/>
  <c r="M342" i="3"/>
  <c r="M341" i="3" s="1"/>
  <c r="G342" i="3"/>
  <c r="G341" i="3" s="1"/>
  <c r="V341" i="3" s="1"/>
  <c r="T341" i="3"/>
  <c r="S341" i="3"/>
  <c r="R341" i="3"/>
  <c r="Q341" i="3"/>
  <c r="P341" i="3"/>
  <c r="O341" i="3"/>
  <c r="N341" i="3"/>
  <c r="L341" i="3"/>
  <c r="K341" i="3"/>
  <c r="J341" i="3"/>
  <c r="I341" i="3"/>
  <c r="H341" i="3"/>
  <c r="F341" i="3"/>
  <c r="V340" i="3"/>
  <c r="S340" i="3"/>
  <c r="M340" i="3" s="1"/>
  <c r="G340" i="3"/>
  <c r="V339" i="3"/>
  <c r="S339" i="3"/>
  <c r="M339" i="3" s="1"/>
  <c r="G339" i="3"/>
  <c r="S338" i="3"/>
  <c r="M338" i="3" s="1"/>
  <c r="L338" i="3"/>
  <c r="L336" i="3" s="1"/>
  <c r="G338" i="3"/>
  <c r="V338" i="3" s="1"/>
  <c r="S337" i="3"/>
  <c r="G337" i="3"/>
  <c r="T336" i="3"/>
  <c r="R336" i="3"/>
  <c r="Q336" i="3"/>
  <c r="P336" i="3"/>
  <c r="P333" i="3" s="1"/>
  <c r="O336" i="3"/>
  <c r="N336" i="3"/>
  <c r="N333" i="3" s="1"/>
  <c r="K336" i="3"/>
  <c r="K333" i="3" s="1"/>
  <c r="K327" i="3" s="1"/>
  <c r="J336" i="3"/>
  <c r="I336" i="3"/>
  <c r="H336" i="3"/>
  <c r="F336" i="3"/>
  <c r="F333" i="3" s="1"/>
  <c r="F327" i="3" s="1"/>
  <c r="M335" i="3"/>
  <c r="M334" i="3" s="1"/>
  <c r="G335" i="3"/>
  <c r="V335" i="3" s="1"/>
  <c r="T334" i="3"/>
  <c r="S334" i="3"/>
  <c r="R334" i="3"/>
  <c r="Q334" i="3"/>
  <c r="P334" i="3"/>
  <c r="O334" i="3"/>
  <c r="N334" i="3"/>
  <c r="L334" i="3"/>
  <c r="K334" i="3"/>
  <c r="J334" i="3"/>
  <c r="I334" i="3"/>
  <c r="I333" i="3" s="1"/>
  <c r="I327" i="3" s="1"/>
  <c r="H334" i="3"/>
  <c r="J333" i="3"/>
  <c r="M332" i="3"/>
  <c r="G332" i="3"/>
  <c r="V332" i="3" s="1"/>
  <c r="M331" i="3"/>
  <c r="G331" i="3"/>
  <c r="V331" i="3" s="1"/>
  <c r="M330" i="3"/>
  <c r="G330" i="3"/>
  <c r="V330" i="3" s="1"/>
  <c r="M329" i="3"/>
  <c r="M328" i="3" s="1"/>
  <c r="G329" i="3"/>
  <c r="T328" i="3"/>
  <c r="S328" i="3"/>
  <c r="R328" i="3"/>
  <c r="Q328" i="3"/>
  <c r="P328" i="3"/>
  <c r="O328" i="3"/>
  <c r="N328" i="3"/>
  <c r="L328" i="3"/>
  <c r="K328" i="3"/>
  <c r="J328" i="3"/>
  <c r="I328" i="3"/>
  <c r="H328" i="3"/>
  <c r="V326" i="3"/>
  <c r="M326" i="3"/>
  <c r="V325" i="3"/>
  <c r="M325" i="3"/>
  <c r="S324" i="3"/>
  <c r="M324" i="3"/>
  <c r="G324" i="3"/>
  <c r="V324" i="3" s="1"/>
  <c r="S323" i="3"/>
  <c r="M323" i="3"/>
  <c r="G323" i="3"/>
  <c r="G322" i="3" s="1"/>
  <c r="T322" i="3"/>
  <c r="R322" i="3"/>
  <c r="Q322" i="3"/>
  <c r="P322" i="3"/>
  <c r="O322" i="3"/>
  <c r="N322" i="3"/>
  <c r="L322" i="3"/>
  <c r="K322" i="3"/>
  <c r="J322" i="3"/>
  <c r="I322" i="3"/>
  <c r="H322" i="3"/>
  <c r="F322" i="3"/>
  <c r="S321" i="3"/>
  <c r="M321" i="3"/>
  <c r="M320" i="3" s="1"/>
  <c r="G321" i="3"/>
  <c r="G320" i="3" s="1"/>
  <c r="T320" i="3"/>
  <c r="S320" i="3"/>
  <c r="R320" i="3"/>
  <c r="Q320" i="3"/>
  <c r="P320" i="3"/>
  <c r="P317" i="3" s="1"/>
  <c r="O320" i="3"/>
  <c r="N320" i="3"/>
  <c r="L320" i="3"/>
  <c r="K320" i="3"/>
  <c r="J320" i="3"/>
  <c r="I320" i="3"/>
  <c r="H320" i="3"/>
  <c r="H317" i="3" s="1"/>
  <c r="F320" i="3"/>
  <c r="F317" i="3" s="1"/>
  <c r="F310" i="3" s="1"/>
  <c r="V319" i="3"/>
  <c r="S319" i="3"/>
  <c r="M319" i="3" s="1"/>
  <c r="M318" i="3" s="1"/>
  <c r="G319" i="3"/>
  <c r="G318" i="3" s="1"/>
  <c r="G317" i="3" s="1"/>
  <c r="T318" i="3"/>
  <c r="R318" i="3"/>
  <c r="R317" i="3" s="1"/>
  <c r="Q318" i="3"/>
  <c r="P318" i="3"/>
  <c r="O318" i="3"/>
  <c r="N318" i="3"/>
  <c r="N317" i="3" s="1"/>
  <c r="L318" i="3"/>
  <c r="L317" i="3" s="1"/>
  <c r="L310" i="3" s="1"/>
  <c r="K318" i="3"/>
  <c r="J318" i="3"/>
  <c r="I318" i="3"/>
  <c r="I317" i="3" s="1"/>
  <c r="I310" i="3" s="1"/>
  <c r="H318" i="3"/>
  <c r="M316" i="3"/>
  <c r="G316" i="3"/>
  <c r="V316" i="3" s="1"/>
  <c r="M315" i="3"/>
  <c r="G315" i="3"/>
  <c r="V315" i="3" s="1"/>
  <c r="M314" i="3"/>
  <c r="G314" i="3"/>
  <c r="V314" i="3" s="1"/>
  <c r="M313" i="3"/>
  <c r="M311" i="3" s="1"/>
  <c r="G313" i="3"/>
  <c r="M312" i="3"/>
  <c r="G312" i="3"/>
  <c r="V312" i="3" s="1"/>
  <c r="T311" i="3"/>
  <c r="S311" i="3"/>
  <c r="R311" i="3"/>
  <c r="Q311" i="3"/>
  <c r="P311" i="3"/>
  <c r="O311" i="3"/>
  <c r="N311" i="3"/>
  <c r="L311" i="3"/>
  <c r="K311" i="3"/>
  <c r="J311" i="3"/>
  <c r="I311" i="3"/>
  <c r="H311" i="3"/>
  <c r="V309" i="3"/>
  <c r="S309" i="3"/>
  <c r="M309" i="3" s="1"/>
  <c r="G309" i="3"/>
  <c r="S308" i="3"/>
  <c r="P308" i="3"/>
  <c r="M308" i="3" s="1"/>
  <c r="M307" i="3" s="1"/>
  <c r="G308" i="3"/>
  <c r="V308" i="3" s="1"/>
  <c r="T307" i="3"/>
  <c r="R307" i="3"/>
  <c r="Q307" i="3"/>
  <c r="Q299" i="3" s="1"/>
  <c r="P307" i="3"/>
  <c r="O307" i="3"/>
  <c r="N307" i="3"/>
  <c r="L307" i="3"/>
  <c r="K307" i="3"/>
  <c r="J307" i="3"/>
  <c r="J299" i="3" s="1"/>
  <c r="J296" i="3" s="1"/>
  <c r="I307" i="3"/>
  <c r="H307" i="3"/>
  <c r="G307" i="3"/>
  <c r="V306" i="3"/>
  <c r="S306" i="3"/>
  <c r="M306" i="3" s="1"/>
  <c r="S305" i="3"/>
  <c r="M305" i="3" s="1"/>
  <c r="G305" i="3"/>
  <c r="V305" i="3" s="1"/>
  <c r="V304" i="3"/>
  <c r="S304" i="3"/>
  <c r="M304" i="3" s="1"/>
  <c r="G304" i="3"/>
  <c r="T303" i="3"/>
  <c r="R303" i="3"/>
  <c r="P303" i="3"/>
  <c r="O303" i="3"/>
  <c r="N303" i="3"/>
  <c r="L303" i="3"/>
  <c r="K303" i="3"/>
  <c r="J303" i="3"/>
  <c r="I303" i="3"/>
  <c r="H303" i="3"/>
  <c r="M302" i="3"/>
  <c r="M300" i="3" s="1"/>
  <c r="G302" i="3"/>
  <c r="V302" i="3" s="1"/>
  <c r="M301" i="3"/>
  <c r="G301" i="3"/>
  <c r="V301" i="3" s="1"/>
  <c r="T300" i="3"/>
  <c r="S300" i="3"/>
  <c r="R300" i="3"/>
  <c r="P300" i="3"/>
  <c r="P299" i="3" s="1"/>
  <c r="P296" i="3" s="1"/>
  <c r="O300" i="3"/>
  <c r="N300" i="3"/>
  <c r="N299" i="3" s="1"/>
  <c r="N296" i="3" s="1"/>
  <c r="L300" i="3"/>
  <c r="K300" i="3"/>
  <c r="J300" i="3"/>
  <c r="I300" i="3"/>
  <c r="H300" i="3"/>
  <c r="F300" i="3"/>
  <c r="T299" i="3"/>
  <c r="T296" i="3" s="1"/>
  <c r="R299" i="3"/>
  <c r="R296" i="3" s="1"/>
  <c r="L299" i="3"/>
  <c r="F299" i="3"/>
  <c r="F296" i="3" s="1"/>
  <c r="M298" i="3"/>
  <c r="G298" i="3"/>
  <c r="V298" i="3" s="1"/>
  <c r="T297" i="3"/>
  <c r="S297" i="3"/>
  <c r="R297" i="3"/>
  <c r="Q297" i="3"/>
  <c r="P297" i="3"/>
  <c r="O297" i="3"/>
  <c r="N297" i="3"/>
  <c r="M297" i="3"/>
  <c r="L297" i="3"/>
  <c r="K297" i="3"/>
  <c r="J297" i="3"/>
  <c r="I297" i="3"/>
  <c r="H297" i="3"/>
  <c r="V295" i="3"/>
  <c r="M295" i="3"/>
  <c r="M294" i="3"/>
  <c r="G294" i="3"/>
  <c r="V294" i="3" s="1"/>
  <c r="V293" i="3"/>
  <c r="S293" i="3"/>
  <c r="M293" i="3" s="1"/>
  <c r="V292" i="3"/>
  <c r="M292" i="3"/>
  <c r="M291" i="3"/>
  <c r="G291" i="3"/>
  <c r="V290" i="3"/>
  <c r="M290" i="3"/>
  <c r="G290" i="3"/>
  <c r="T289" i="3"/>
  <c r="R289" i="3"/>
  <c r="Q289" i="3"/>
  <c r="P289" i="3"/>
  <c r="O289" i="3"/>
  <c r="N289" i="3"/>
  <c r="N280" i="3" s="1"/>
  <c r="N270" i="3" s="1"/>
  <c r="L289" i="3"/>
  <c r="K289" i="3"/>
  <c r="J289" i="3"/>
  <c r="I289" i="3"/>
  <c r="H289" i="3"/>
  <c r="S288" i="3"/>
  <c r="M288" i="3" s="1"/>
  <c r="L288" i="3"/>
  <c r="G288" i="3"/>
  <c r="G286" i="3" s="1"/>
  <c r="V286" i="3" s="1"/>
  <c r="S287" i="3"/>
  <c r="M287" i="3" s="1"/>
  <c r="G287" i="3"/>
  <c r="V287" i="3" s="1"/>
  <c r="T286" i="3"/>
  <c r="R286" i="3"/>
  <c r="Q286" i="3"/>
  <c r="P286" i="3"/>
  <c r="O286" i="3"/>
  <c r="N286" i="3"/>
  <c r="L286" i="3"/>
  <c r="K286" i="3"/>
  <c r="J286" i="3"/>
  <c r="I286" i="3"/>
  <c r="H286" i="3"/>
  <c r="V285" i="3"/>
  <c r="M285" i="3"/>
  <c r="G285" i="3"/>
  <c r="S284" i="3"/>
  <c r="M284" i="3" s="1"/>
  <c r="G284" i="3"/>
  <c r="V284" i="3" s="1"/>
  <c r="M283" i="3"/>
  <c r="G283" i="3"/>
  <c r="V283" i="3" s="1"/>
  <c r="S282" i="3"/>
  <c r="M282" i="3"/>
  <c r="G282" i="3"/>
  <c r="V282" i="3" s="1"/>
  <c r="T281" i="3"/>
  <c r="S281" i="3"/>
  <c r="R281" i="3"/>
  <c r="R280" i="3" s="1"/>
  <c r="Q281" i="3"/>
  <c r="P281" i="3"/>
  <c r="P280" i="3" s="1"/>
  <c r="O281" i="3"/>
  <c r="N281" i="3"/>
  <c r="L281" i="3"/>
  <c r="L280" i="3" s="1"/>
  <c r="K281" i="3"/>
  <c r="K280" i="3" s="1"/>
  <c r="J281" i="3"/>
  <c r="J280" i="3" s="1"/>
  <c r="J270" i="3" s="1"/>
  <c r="I281" i="3"/>
  <c r="I280" i="3" s="1"/>
  <c r="H281" i="3"/>
  <c r="T280" i="3"/>
  <c r="O280" i="3"/>
  <c r="H280" i="3"/>
  <c r="F280" i="3"/>
  <c r="M279" i="3"/>
  <c r="G279" i="3"/>
  <c r="V279" i="3" s="1"/>
  <c r="M278" i="3"/>
  <c r="G278" i="3"/>
  <c r="V278" i="3" s="1"/>
  <c r="M277" i="3"/>
  <c r="G277" i="3"/>
  <c r="V277" i="3" s="1"/>
  <c r="M276" i="3"/>
  <c r="G276" i="3"/>
  <c r="V276" i="3" s="1"/>
  <c r="M275" i="3"/>
  <c r="G275" i="3"/>
  <c r="V275" i="3" s="1"/>
  <c r="V274" i="3"/>
  <c r="M274" i="3"/>
  <c r="G274" i="3"/>
  <c r="M273" i="3"/>
  <c r="G273" i="3"/>
  <c r="M272" i="3"/>
  <c r="G272" i="3"/>
  <c r="V272" i="3" s="1"/>
  <c r="T271" i="3"/>
  <c r="S271" i="3"/>
  <c r="R271" i="3"/>
  <c r="R270" i="3" s="1"/>
  <c r="Q271" i="3"/>
  <c r="P271" i="3"/>
  <c r="O271" i="3"/>
  <c r="O270" i="3" s="1"/>
  <c r="N271" i="3"/>
  <c r="L271" i="3"/>
  <c r="K271" i="3"/>
  <c r="K270" i="3" s="1"/>
  <c r="J271" i="3"/>
  <c r="I271" i="3"/>
  <c r="H271" i="3"/>
  <c r="F270" i="3"/>
  <c r="M269" i="3"/>
  <c r="G269" i="3"/>
  <c r="V269" i="3" s="1"/>
  <c r="S268" i="3"/>
  <c r="M268" i="3" s="1"/>
  <c r="G268" i="3"/>
  <c r="V268" i="3" s="1"/>
  <c r="M267" i="3"/>
  <c r="G267" i="3"/>
  <c r="V267" i="3" s="1"/>
  <c r="V266" i="3"/>
  <c r="S266" i="3"/>
  <c r="M266" i="3"/>
  <c r="V265" i="3"/>
  <c r="M265" i="3"/>
  <c r="V264" i="3"/>
  <c r="S264" i="3"/>
  <c r="M264" i="3"/>
  <c r="V263" i="3"/>
  <c r="S263" i="3"/>
  <c r="M263" i="3"/>
  <c r="V262" i="3"/>
  <c r="S262" i="3"/>
  <c r="M262" i="3" s="1"/>
  <c r="V261" i="3"/>
  <c r="S261" i="3"/>
  <c r="M261" i="3" s="1"/>
  <c r="V260" i="3"/>
  <c r="S260" i="3"/>
  <c r="M260" i="3" s="1"/>
  <c r="V259" i="3"/>
  <c r="M259" i="3"/>
  <c r="S258" i="3"/>
  <c r="M258" i="3" s="1"/>
  <c r="G258" i="3"/>
  <c r="V258" i="3" s="1"/>
  <c r="S257" i="3"/>
  <c r="M257" i="3"/>
  <c r="G257" i="3"/>
  <c r="G256" i="3" s="1"/>
  <c r="T256" i="3"/>
  <c r="R256" i="3"/>
  <c r="P256" i="3"/>
  <c r="O256" i="3"/>
  <c r="N256" i="3"/>
  <c r="L256" i="3"/>
  <c r="K256" i="3"/>
  <c r="J256" i="3"/>
  <c r="I256" i="3"/>
  <c r="H256" i="3"/>
  <c r="F256" i="3"/>
  <c r="M255" i="3"/>
  <c r="G255" i="3"/>
  <c r="V255" i="3" s="1"/>
  <c r="M254" i="3"/>
  <c r="G254" i="3"/>
  <c r="V254" i="3" s="1"/>
  <c r="S253" i="3"/>
  <c r="M253" i="3" s="1"/>
  <c r="G253" i="3"/>
  <c r="V253" i="3" s="1"/>
  <c r="M252" i="3"/>
  <c r="G252" i="3"/>
  <c r="V252" i="3" s="1"/>
  <c r="M251" i="3"/>
  <c r="G251" i="3"/>
  <c r="V251" i="3" s="1"/>
  <c r="M250" i="3"/>
  <c r="G250" i="3"/>
  <c r="T249" i="3"/>
  <c r="R249" i="3"/>
  <c r="Q249" i="3"/>
  <c r="P249" i="3"/>
  <c r="O249" i="3"/>
  <c r="N249" i="3"/>
  <c r="L249" i="3"/>
  <c r="K249" i="3"/>
  <c r="J249" i="3"/>
  <c r="I249" i="3"/>
  <c r="H249" i="3"/>
  <c r="H240" i="3" s="1"/>
  <c r="M248" i="3"/>
  <c r="G248" i="3"/>
  <c r="V248" i="3" s="1"/>
  <c r="M247" i="3"/>
  <c r="G247" i="3"/>
  <c r="V247" i="3" s="1"/>
  <c r="M246" i="3"/>
  <c r="G246" i="3"/>
  <c r="V246" i="3" s="1"/>
  <c r="V245" i="3"/>
  <c r="S245" i="3"/>
  <c r="M245" i="3" s="1"/>
  <c r="G245" i="3"/>
  <c r="M244" i="3"/>
  <c r="G244" i="3"/>
  <c r="V244" i="3" s="1"/>
  <c r="V243" i="3"/>
  <c r="M243" i="3"/>
  <c r="G243" i="3"/>
  <c r="M242" i="3"/>
  <c r="L242" i="3"/>
  <c r="L241" i="3" s="1"/>
  <c r="L240" i="3" s="1"/>
  <c r="G242" i="3"/>
  <c r="T241" i="3"/>
  <c r="R241" i="3"/>
  <c r="R240" i="3" s="1"/>
  <c r="Q241" i="3"/>
  <c r="Q240" i="3" s="1"/>
  <c r="P241" i="3"/>
  <c r="O241" i="3"/>
  <c r="N241" i="3"/>
  <c r="K241" i="3"/>
  <c r="K240" i="3" s="1"/>
  <c r="J241" i="3"/>
  <c r="I241" i="3"/>
  <c r="H241" i="3"/>
  <c r="N240" i="3"/>
  <c r="N226" i="3" s="1"/>
  <c r="F240" i="3"/>
  <c r="F226" i="3" s="1"/>
  <c r="M239" i="3"/>
  <c r="G239" i="3"/>
  <c r="V239" i="3" s="1"/>
  <c r="V238" i="3"/>
  <c r="M238" i="3"/>
  <c r="G238" i="3"/>
  <c r="M237" i="3"/>
  <c r="G237" i="3"/>
  <c r="V237" i="3" s="1"/>
  <c r="V236" i="3"/>
  <c r="M236" i="3"/>
  <c r="G236" i="3"/>
  <c r="M235" i="3"/>
  <c r="G235" i="3"/>
  <c r="V235" i="3" s="1"/>
  <c r="M234" i="3"/>
  <c r="G234" i="3"/>
  <c r="V234" i="3" s="1"/>
  <c r="M233" i="3"/>
  <c r="G233" i="3"/>
  <c r="V233" i="3" s="1"/>
  <c r="V232" i="3"/>
  <c r="M232" i="3"/>
  <c r="G232" i="3"/>
  <c r="M231" i="3"/>
  <c r="G231" i="3"/>
  <c r="V231" i="3" s="1"/>
  <c r="V230" i="3"/>
  <c r="M230" i="3"/>
  <c r="G230" i="3"/>
  <c r="M229" i="3"/>
  <c r="G229" i="3"/>
  <c r="V229" i="3" s="1"/>
  <c r="M228" i="3"/>
  <c r="G228" i="3"/>
  <c r="V228" i="3" s="1"/>
  <c r="T227" i="3"/>
  <c r="S227" i="3"/>
  <c r="R227" i="3"/>
  <c r="Q227" i="3"/>
  <c r="P227" i="3"/>
  <c r="O227" i="3"/>
  <c r="N227" i="3"/>
  <c r="L227" i="3"/>
  <c r="K227" i="3"/>
  <c r="J227" i="3"/>
  <c r="I227" i="3"/>
  <c r="H227" i="3"/>
  <c r="V225" i="3"/>
  <c r="M225" i="3"/>
  <c r="M224" i="3"/>
  <c r="G224" i="3"/>
  <c r="V224" i="3" s="1"/>
  <c r="M223" i="3"/>
  <c r="G223" i="3"/>
  <c r="V223" i="3" s="1"/>
  <c r="M222" i="3"/>
  <c r="G222" i="3"/>
  <c r="V222" i="3" s="1"/>
  <c r="M221" i="3"/>
  <c r="G221" i="3"/>
  <c r="V221" i="3" s="1"/>
  <c r="V220" i="3"/>
  <c r="M220" i="3"/>
  <c r="G220" i="3"/>
  <c r="S219" i="3"/>
  <c r="M219" i="3" s="1"/>
  <c r="G219" i="3"/>
  <c r="S218" i="3"/>
  <c r="M218" i="3" s="1"/>
  <c r="K218" i="3"/>
  <c r="V218" i="3" s="1"/>
  <c r="V217" i="3"/>
  <c r="S217" i="3"/>
  <c r="M217" i="3" s="1"/>
  <c r="S216" i="3"/>
  <c r="M216" i="3" s="1"/>
  <c r="G216" i="3"/>
  <c r="V216" i="3" s="1"/>
  <c r="S215" i="3"/>
  <c r="M215" i="3" s="1"/>
  <c r="G215" i="3"/>
  <c r="V215" i="3" s="1"/>
  <c r="S214" i="3"/>
  <c r="M214" i="3"/>
  <c r="G214" i="3"/>
  <c r="V214" i="3" s="1"/>
  <c r="S213" i="3"/>
  <c r="M213" i="3"/>
  <c r="G213" i="3"/>
  <c r="V213" i="3" s="1"/>
  <c r="R212" i="3"/>
  <c r="Q212" i="3"/>
  <c r="P212" i="3"/>
  <c r="O212" i="3"/>
  <c r="N212" i="3"/>
  <c r="L212" i="3"/>
  <c r="K212" i="3"/>
  <c r="J212" i="3"/>
  <c r="I212" i="3"/>
  <c r="H212" i="3"/>
  <c r="M211" i="3"/>
  <c r="G211" i="3"/>
  <c r="V211" i="3" s="1"/>
  <c r="V210" i="3"/>
  <c r="S210" i="3"/>
  <c r="M210" i="3" s="1"/>
  <c r="G210" i="3"/>
  <c r="M209" i="3"/>
  <c r="G209" i="3"/>
  <c r="V209" i="3" s="1"/>
  <c r="M208" i="3"/>
  <c r="G208" i="3"/>
  <c r="V208" i="3" s="1"/>
  <c r="S207" i="3"/>
  <c r="M207" i="3"/>
  <c r="G207" i="3"/>
  <c r="V207" i="3" s="1"/>
  <c r="V206" i="3"/>
  <c r="M206" i="3"/>
  <c r="G206" i="3"/>
  <c r="S205" i="3"/>
  <c r="M205" i="3"/>
  <c r="G205" i="3"/>
  <c r="V205" i="3" s="1"/>
  <c r="M204" i="3"/>
  <c r="G204" i="3"/>
  <c r="V204" i="3" s="1"/>
  <c r="S203" i="3"/>
  <c r="M203" i="3" s="1"/>
  <c r="L203" i="3"/>
  <c r="G203" i="3"/>
  <c r="V203" i="3" s="1"/>
  <c r="S202" i="3"/>
  <c r="M202" i="3" s="1"/>
  <c r="K202" i="3"/>
  <c r="G202" i="3" s="1"/>
  <c r="S201" i="3"/>
  <c r="P201" i="3"/>
  <c r="P200" i="3" s="1"/>
  <c r="P186" i="3" s="1"/>
  <c r="O201" i="3"/>
  <c r="O200" i="3" s="1"/>
  <c r="G201" i="3"/>
  <c r="V201" i="3" s="1"/>
  <c r="R200" i="3"/>
  <c r="Q200" i="3"/>
  <c r="N200" i="3"/>
  <c r="L200" i="3"/>
  <c r="J200" i="3"/>
  <c r="I200" i="3"/>
  <c r="H200" i="3"/>
  <c r="V199" i="3"/>
  <c r="M199" i="3"/>
  <c r="M198" i="3"/>
  <c r="G198" i="3"/>
  <c r="V198" i="3" s="1"/>
  <c r="M197" i="3"/>
  <c r="G197" i="3"/>
  <c r="V197" i="3" s="1"/>
  <c r="M196" i="3"/>
  <c r="G196" i="3"/>
  <c r="V196" i="3" s="1"/>
  <c r="M195" i="3"/>
  <c r="G195" i="3"/>
  <c r="V195" i="3" s="1"/>
  <c r="M194" i="3"/>
  <c r="G194" i="3"/>
  <c r="V194" i="3" s="1"/>
  <c r="M193" i="3"/>
  <c r="G193" i="3"/>
  <c r="V193" i="3" s="1"/>
  <c r="V192" i="3"/>
  <c r="M192" i="3"/>
  <c r="G192" i="3"/>
  <c r="M191" i="3"/>
  <c r="G191" i="3"/>
  <c r="V191" i="3" s="1"/>
  <c r="V190" i="3"/>
  <c r="M190" i="3"/>
  <c r="G190" i="3"/>
  <c r="M189" i="3"/>
  <c r="G189" i="3"/>
  <c r="V189" i="3" s="1"/>
  <c r="M188" i="3"/>
  <c r="G188" i="3"/>
  <c r="V188" i="3" s="1"/>
  <c r="T187" i="3"/>
  <c r="T186" i="3" s="1"/>
  <c r="S187" i="3"/>
  <c r="R187" i="3"/>
  <c r="Q187" i="3"/>
  <c r="P187" i="3"/>
  <c r="O187" i="3"/>
  <c r="N187" i="3"/>
  <c r="N186" i="3" s="1"/>
  <c r="L187" i="3"/>
  <c r="L186" i="3" s="1"/>
  <c r="K187" i="3"/>
  <c r="J187" i="3"/>
  <c r="I187" i="3"/>
  <c r="I186" i="3" s="1"/>
  <c r="I179" i="3" s="1"/>
  <c r="H187" i="3"/>
  <c r="H186" i="3" s="1"/>
  <c r="J186" i="3"/>
  <c r="J179" i="3" s="1"/>
  <c r="F186" i="3"/>
  <c r="F179" i="3" s="1"/>
  <c r="M185" i="3"/>
  <c r="G185" i="3"/>
  <c r="V185" i="3" s="1"/>
  <c r="M184" i="3"/>
  <c r="G184" i="3"/>
  <c r="V184" i="3" s="1"/>
  <c r="M183" i="3"/>
  <c r="G183" i="3"/>
  <c r="G180" i="3" s="1"/>
  <c r="M182" i="3"/>
  <c r="G182" i="3"/>
  <c r="V182" i="3" s="1"/>
  <c r="M181" i="3"/>
  <c r="G181" i="3"/>
  <c r="V181" i="3" s="1"/>
  <c r="T180" i="3"/>
  <c r="S180" i="3"/>
  <c r="R180" i="3"/>
  <c r="Q180" i="3"/>
  <c r="P180" i="3"/>
  <c r="O180" i="3"/>
  <c r="N180" i="3"/>
  <c r="L180" i="3"/>
  <c r="K180" i="3"/>
  <c r="J180" i="3"/>
  <c r="I180" i="3"/>
  <c r="H180" i="3"/>
  <c r="M178" i="3"/>
  <c r="G178" i="3"/>
  <c r="V178" i="3" s="1"/>
  <c r="V177" i="3"/>
  <c r="M177" i="3"/>
  <c r="V176" i="3"/>
  <c r="M176" i="3"/>
  <c r="M175" i="3"/>
  <c r="G175" i="3"/>
  <c r="V175" i="3" s="1"/>
  <c r="V174" i="3"/>
  <c r="M174" i="3"/>
  <c r="G174" i="3"/>
  <c r="M173" i="3"/>
  <c r="G173" i="3"/>
  <c r="V173" i="3" s="1"/>
  <c r="V172" i="3"/>
  <c r="M172" i="3"/>
  <c r="G172" i="3"/>
  <c r="M171" i="3"/>
  <c r="G171" i="3"/>
  <c r="V170" i="3"/>
  <c r="S170" i="3"/>
  <c r="M170" i="3" s="1"/>
  <c r="M169" i="3" s="1"/>
  <c r="T169" i="3"/>
  <c r="R169" i="3"/>
  <c r="R143" i="3" s="1"/>
  <c r="R129" i="3" s="1"/>
  <c r="Q169" i="3"/>
  <c r="P169" i="3"/>
  <c r="O169" i="3"/>
  <c r="N169" i="3"/>
  <c r="L169" i="3"/>
  <c r="K169" i="3"/>
  <c r="J169" i="3"/>
  <c r="I169" i="3"/>
  <c r="H169" i="3"/>
  <c r="M168" i="3"/>
  <c r="G168" i="3"/>
  <c r="V168" i="3" s="1"/>
  <c r="M167" i="3"/>
  <c r="G167" i="3"/>
  <c r="M166" i="3"/>
  <c r="G166" i="3"/>
  <c r="V166" i="3" s="1"/>
  <c r="M165" i="3"/>
  <c r="G165" i="3"/>
  <c r="V165" i="3" s="1"/>
  <c r="S164" i="3"/>
  <c r="M164" i="3" s="1"/>
  <c r="G164" i="3"/>
  <c r="V164" i="3" s="1"/>
  <c r="T163" i="3"/>
  <c r="S163" i="3"/>
  <c r="R163" i="3"/>
  <c r="Q163" i="3"/>
  <c r="P163" i="3"/>
  <c r="O163" i="3"/>
  <c r="N163" i="3"/>
  <c r="L163" i="3"/>
  <c r="K163" i="3"/>
  <c r="J163" i="3"/>
  <c r="I163" i="3"/>
  <c r="H163" i="3"/>
  <c r="V162" i="3"/>
  <c r="S162" i="3"/>
  <c r="M162" i="3" s="1"/>
  <c r="V161" i="3"/>
  <c r="M161" i="3"/>
  <c r="V160" i="3"/>
  <c r="M160" i="3"/>
  <c r="V159" i="3"/>
  <c r="M159" i="3"/>
  <c r="M158" i="3"/>
  <c r="H158" i="3"/>
  <c r="H144" i="3" s="1"/>
  <c r="H143" i="3" s="1"/>
  <c r="M157" i="3"/>
  <c r="G157" i="3"/>
  <c r="V157" i="3" s="1"/>
  <c r="M156" i="3"/>
  <c r="G156" i="3"/>
  <c r="V156" i="3" s="1"/>
  <c r="M155" i="3"/>
  <c r="G155" i="3"/>
  <c r="V155" i="3" s="1"/>
  <c r="M154" i="3"/>
  <c r="G154" i="3"/>
  <c r="V154" i="3" s="1"/>
  <c r="M153" i="3"/>
  <c r="G153" i="3"/>
  <c r="V153" i="3" s="1"/>
  <c r="M152" i="3"/>
  <c r="G152" i="3"/>
  <c r="V152" i="3" s="1"/>
  <c r="M151" i="3"/>
  <c r="G151" i="3"/>
  <c r="V151" i="3" s="1"/>
  <c r="M150" i="3"/>
  <c r="G150" i="3"/>
  <c r="V150" i="3" s="1"/>
  <c r="M149" i="3"/>
  <c r="G149" i="3"/>
  <c r="V149" i="3" s="1"/>
  <c r="M148" i="3"/>
  <c r="G148" i="3"/>
  <c r="V148" i="3" s="1"/>
  <c r="M147" i="3"/>
  <c r="G147" i="3"/>
  <c r="V147" i="3" s="1"/>
  <c r="M146" i="3"/>
  <c r="G146" i="3"/>
  <c r="G144" i="3" s="1"/>
  <c r="M145" i="3"/>
  <c r="G145" i="3"/>
  <c r="V145" i="3" s="1"/>
  <c r="T144" i="3"/>
  <c r="T143" i="3" s="1"/>
  <c r="S144" i="3"/>
  <c r="R144" i="3"/>
  <c r="Q144" i="3"/>
  <c r="P144" i="3"/>
  <c r="P143" i="3" s="1"/>
  <c r="O144" i="3"/>
  <c r="O143" i="3" s="1"/>
  <c r="N144" i="3"/>
  <c r="N143" i="3" s="1"/>
  <c r="N129" i="3" s="1"/>
  <c r="L144" i="3"/>
  <c r="K144" i="3"/>
  <c r="J144" i="3"/>
  <c r="I144" i="3"/>
  <c r="I143" i="3" s="1"/>
  <c r="F144" i="3"/>
  <c r="F143" i="3" s="1"/>
  <c r="F129" i="3" s="1"/>
  <c r="Q143" i="3"/>
  <c r="K143" i="3"/>
  <c r="M142" i="3"/>
  <c r="G142" i="3"/>
  <c r="V142" i="3" s="1"/>
  <c r="M141" i="3"/>
  <c r="G141" i="3"/>
  <c r="V141" i="3" s="1"/>
  <c r="V140" i="3"/>
  <c r="M140" i="3"/>
  <c r="G140" i="3"/>
  <c r="M139" i="3"/>
  <c r="G139" i="3"/>
  <c r="V139" i="3" s="1"/>
  <c r="V138" i="3"/>
  <c r="M138" i="3"/>
  <c r="G138" i="3"/>
  <c r="M137" i="3"/>
  <c r="G137" i="3"/>
  <c r="V137" i="3" s="1"/>
  <c r="M136" i="3"/>
  <c r="G136" i="3"/>
  <c r="V136" i="3" s="1"/>
  <c r="M135" i="3"/>
  <c r="G135" i="3"/>
  <c r="V135" i="3" s="1"/>
  <c r="M134" i="3"/>
  <c r="G134" i="3"/>
  <c r="V134" i="3" s="1"/>
  <c r="M133" i="3"/>
  <c r="G133" i="3"/>
  <c r="V133" i="3" s="1"/>
  <c r="M132" i="3"/>
  <c r="G132" i="3"/>
  <c r="V132" i="3" s="1"/>
  <c r="M131" i="3"/>
  <c r="G131" i="3"/>
  <c r="T130" i="3"/>
  <c r="S130" i="3"/>
  <c r="R130" i="3"/>
  <c r="Q130" i="3"/>
  <c r="Q129" i="3" s="1"/>
  <c r="P130" i="3"/>
  <c r="P129" i="3" s="1"/>
  <c r="O130" i="3"/>
  <c r="N130" i="3"/>
  <c r="L130" i="3"/>
  <c r="K130" i="3"/>
  <c r="K129" i="3" s="1"/>
  <c r="J130" i="3"/>
  <c r="I130" i="3"/>
  <c r="I129" i="3" s="1"/>
  <c r="H130" i="3"/>
  <c r="M128" i="3"/>
  <c r="K128" i="3"/>
  <c r="V128" i="3" s="1"/>
  <c r="V127" i="3"/>
  <c r="M127" i="3"/>
  <c r="V126" i="3"/>
  <c r="M126" i="3"/>
  <c r="V125" i="3"/>
  <c r="S125" i="3"/>
  <c r="M125" i="3"/>
  <c r="S124" i="3"/>
  <c r="M124" i="3" s="1"/>
  <c r="G124" i="3"/>
  <c r="V124" i="3" s="1"/>
  <c r="V123" i="3"/>
  <c r="M123" i="3"/>
  <c r="V122" i="3"/>
  <c r="M122" i="3"/>
  <c r="V121" i="3"/>
  <c r="S121" i="3"/>
  <c r="M121" i="3" s="1"/>
  <c r="V120" i="3"/>
  <c r="M120" i="3"/>
  <c r="S119" i="3"/>
  <c r="M119" i="3" s="1"/>
  <c r="G119" i="3"/>
  <c r="V119" i="3" s="1"/>
  <c r="S118" i="3"/>
  <c r="M118" i="3" s="1"/>
  <c r="G118" i="3"/>
  <c r="V118" i="3" s="1"/>
  <c r="V117" i="3"/>
  <c r="S117" i="3"/>
  <c r="M117" i="3"/>
  <c r="V116" i="3"/>
  <c r="S116" i="3"/>
  <c r="M116" i="3" s="1"/>
  <c r="S115" i="3"/>
  <c r="N115" i="3"/>
  <c r="M115" i="3"/>
  <c r="G115" i="3"/>
  <c r="V115" i="3" s="1"/>
  <c r="V114" i="3"/>
  <c r="S114" i="3"/>
  <c r="M114" i="3" s="1"/>
  <c r="V113" i="3"/>
  <c r="M113" i="3"/>
  <c r="S112" i="3"/>
  <c r="M112" i="3" s="1"/>
  <c r="N112" i="3"/>
  <c r="K112" i="3"/>
  <c r="V112" i="3" s="1"/>
  <c r="V111" i="3"/>
  <c r="S111" i="3"/>
  <c r="M111" i="3" s="1"/>
  <c r="V110" i="3"/>
  <c r="S110" i="3"/>
  <c r="M110" i="3"/>
  <c r="M109" i="3"/>
  <c r="G109" i="3"/>
  <c r="V109" i="3" s="1"/>
  <c r="S108" i="3"/>
  <c r="G108" i="3"/>
  <c r="T107" i="3"/>
  <c r="R107" i="3"/>
  <c r="Q107" i="3"/>
  <c r="P107" i="3"/>
  <c r="O107" i="3"/>
  <c r="L107" i="3"/>
  <c r="J107" i="3"/>
  <c r="I107" i="3"/>
  <c r="H107" i="3"/>
  <c r="F107" i="3"/>
  <c r="M106" i="3"/>
  <c r="G106" i="3"/>
  <c r="V106" i="3" s="1"/>
  <c r="S105" i="3"/>
  <c r="M105" i="3" s="1"/>
  <c r="G105" i="3"/>
  <c r="V105" i="3" s="1"/>
  <c r="V104" i="3"/>
  <c r="M104" i="3"/>
  <c r="G104" i="3"/>
  <c r="S103" i="3"/>
  <c r="M103" i="3" s="1"/>
  <c r="G103" i="3"/>
  <c r="V103" i="3" s="1"/>
  <c r="M102" i="3"/>
  <c r="G102" i="3"/>
  <c r="V102" i="3" s="1"/>
  <c r="S101" i="3"/>
  <c r="M101" i="3" s="1"/>
  <c r="G101" i="3"/>
  <c r="V101" i="3" s="1"/>
  <c r="V100" i="3"/>
  <c r="S100" i="3"/>
  <c r="M100" i="3" s="1"/>
  <c r="S99" i="3"/>
  <c r="M99" i="3" s="1"/>
  <c r="G99" i="3"/>
  <c r="V99" i="3" s="1"/>
  <c r="M98" i="3"/>
  <c r="G98" i="3"/>
  <c r="V98" i="3" s="1"/>
  <c r="V97" i="3"/>
  <c r="M97" i="3"/>
  <c r="G97" i="3"/>
  <c r="M96" i="3"/>
  <c r="L96" i="3"/>
  <c r="G96" i="3"/>
  <c r="V96" i="3" s="1"/>
  <c r="S95" i="3"/>
  <c r="G95" i="3"/>
  <c r="V95" i="3" s="1"/>
  <c r="M94" i="3"/>
  <c r="G94" i="3"/>
  <c r="R93" i="3"/>
  <c r="Q93" i="3"/>
  <c r="P93" i="3"/>
  <c r="O93" i="3"/>
  <c r="N93" i="3"/>
  <c r="L93" i="3"/>
  <c r="K93" i="3"/>
  <c r="J93" i="3"/>
  <c r="I93" i="3"/>
  <c r="H93" i="3"/>
  <c r="M92" i="3"/>
  <c r="G92" i="3"/>
  <c r="V92" i="3" s="1"/>
  <c r="V91" i="3"/>
  <c r="M91" i="3"/>
  <c r="G91" i="3"/>
  <c r="S90" i="3"/>
  <c r="M90" i="3"/>
  <c r="G90" i="3"/>
  <c r="V90" i="3" s="1"/>
  <c r="V89" i="3"/>
  <c r="M89" i="3"/>
  <c r="L89" i="3"/>
  <c r="V88" i="3"/>
  <c r="M88" i="3"/>
  <c r="V87" i="3"/>
  <c r="M87" i="3"/>
  <c r="M86" i="3"/>
  <c r="G86" i="3"/>
  <c r="V86" i="3" s="1"/>
  <c r="M85" i="3"/>
  <c r="G85" i="3"/>
  <c r="V85" i="3" s="1"/>
  <c r="M84" i="3"/>
  <c r="G84" i="3"/>
  <c r="V84" i="3" s="1"/>
  <c r="S83" i="3"/>
  <c r="M83" i="3" s="1"/>
  <c r="G83" i="3"/>
  <c r="V83" i="3" s="1"/>
  <c r="M82" i="3"/>
  <c r="G82" i="3"/>
  <c r="V82" i="3" s="1"/>
  <c r="V81" i="3"/>
  <c r="M81" i="3"/>
  <c r="G81" i="3"/>
  <c r="M80" i="3"/>
  <c r="G80" i="3"/>
  <c r="V80" i="3" s="1"/>
  <c r="M79" i="3"/>
  <c r="G79" i="3"/>
  <c r="V79" i="3" s="1"/>
  <c r="S78" i="3"/>
  <c r="S77" i="3" s="1"/>
  <c r="M78" i="3"/>
  <c r="G78" i="3"/>
  <c r="T77" i="3"/>
  <c r="R77" i="3"/>
  <c r="Q77" i="3"/>
  <c r="Q76" i="3" s="1"/>
  <c r="P77" i="3"/>
  <c r="O77" i="3"/>
  <c r="N77" i="3"/>
  <c r="L77" i="3"/>
  <c r="L76" i="3" s="1"/>
  <c r="K77" i="3"/>
  <c r="J77" i="3"/>
  <c r="I77" i="3"/>
  <c r="H77" i="3"/>
  <c r="H76" i="3" s="1"/>
  <c r="F77" i="3"/>
  <c r="F76" i="3" s="1"/>
  <c r="F52" i="3" s="1"/>
  <c r="T76" i="3"/>
  <c r="O76" i="3"/>
  <c r="M75" i="3"/>
  <c r="G75" i="3"/>
  <c r="V75" i="3" s="1"/>
  <c r="M74" i="3"/>
  <c r="G74" i="3"/>
  <c r="V74" i="3" s="1"/>
  <c r="S73" i="3"/>
  <c r="M73" i="3"/>
  <c r="G73" i="3"/>
  <c r="V73" i="3" s="1"/>
  <c r="M72" i="3"/>
  <c r="G72" i="3"/>
  <c r="V72" i="3" s="1"/>
  <c r="M71" i="3"/>
  <c r="G71" i="3"/>
  <c r="V71" i="3" s="1"/>
  <c r="M70" i="3"/>
  <c r="G70" i="3"/>
  <c r="V70" i="3" s="1"/>
  <c r="M69" i="3"/>
  <c r="G69" i="3"/>
  <c r="V69" i="3" s="1"/>
  <c r="M68" i="3"/>
  <c r="G68" i="3"/>
  <c r="V68" i="3" s="1"/>
  <c r="M67" i="3"/>
  <c r="G67" i="3"/>
  <c r="V67" i="3" s="1"/>
  <c r="V66" i="3"/>
  <c r="M66" i="3"/>
  <c r="G66" i="3"/>
  <c r="M65" i="3"/>
  <c r="G65" i="3"/>
  <c r="V65" i="3" s="1"/>
  <c r="M64" i="3"/>
  <c r="G64" i="3"/>
  <c r="V64" i="3" s="1"/>
  <c r="M63" i="3"/>
  <c r="G63" i="3"/>
  <c r="V63" i="3" s="1"/>
  <c r="M62" i="3"/>
  <c r="G62" i="3"/>
  <c r="V62" i="3" s="1"/>
  <c r="M61" i="3"/>
  <c r="G61" i="3"/>
  <c r="V61" i="3" s="1"/>
  <c r="M60" i="3"/>
  <c r="G60" i="3"/>
  <c r="V60" i="3" s="1"/>
  <c r="M59" i="3"/>
  <c r="G59" i="3"/>
  <c r="V59" i="3" s="1"/>
  <c r="M58" i="3"/>
  <c r="G58" i="3"/>
  <c r="V58" i="3" s="1"/>
  <c r="M57" i="3"/>
  <c r="G57" i="3"/>
  <c r="V57" i="3" s="1"/>
  <c r="M56" i="3"/>
  <c r="M53" i="3" s="1"/>
  <c r="G56" i="3"/>
  <c r="V56" i="3" s="1"/>
  <c r="M55" i="3"/>
  <c r="G55" i="3"/>
  <c r="M54" i="3"/>
  <c r="G54" i="3"/>
  <c r="V54" i="3" s="1"/>
  <c r="T53" i="3"/>
  <c r="S53" i="3"/>
  <c r="S13" i="3" s="1"/>
  <c r="M13" i="3" s="1"/>
  <c r="R53" i="3"/>
  <c r="Q53" i="3"/>
  <c r="P53" i="3"/>
  <c r="O53" i="3"/>
  <c r="O52" i="3" s="1"/>
  <c r="N53" i="3"/>
  <c r="L53" i="3"/>
  <c r="K53" i="3"/>
  <c r="J53" i="3"/>
  <c r="I53" i="3"/>
  <c r="H53" i="3"/>
  <c r="V51" i="3"/>
  <c r="M51" i="3"/>
  <c r="S50" i="3"/>
  <c r="M50" i="3" s="1"/>
  <c r="G50" i="3"/>
  <c r="V50" i="3" s="1"/>
  <c r="V49" i="3"/>
  <c r="M49" i="3"/>
  <c r="G49" i="3"/>
  <c r="M48" i="3"/>
  <c r="G48" i="3"/>
  <c r="V48" i="3" s="1"/>
  <c r="S47" i="3"/>
  <c r="M47" i="3" s="1"/>
  <c r="G47" i="3"/>
  <c r="V47" i="3" s="1"/>
  <c r="T46" i="3"/>
  <c r="R46" i="3"/>
  <c r="Q46" i="3"/>
  <c r="P46" i="3"/>
  <c r="O46" i="3"/>
  <c r="N46" i="3"/>
  <c r="L46" i="3"/>
  <c r="K46" i="3"/>
  <c r="J46" i="3"/>
  <c r="I46" i="3"/>
  <c r="H46" i="3"/>
  <c r="F46" i="3"/>
  <c r="S45" i="3"/>
  <c r="M45" i="3" s="1"/>
  <c r="G45" i="3"/>
  <c r="V45" i="3" s="1"/>
  <c r="V44" i="3"/>
  <c r="S44" i="3"/>
  <c r="M44" i="3" s="1"/>
  <c r="G44" i="3"/>
  <c r="M43" i="3"/>
  <c r="G43" i="3"/>
  <c r="V43" i="3" s="1"/>
  <c r="S42" i="3"/>
  <c r="M42" i="3" s="1"/>
  <c r="G42" i="3"/>
  <c r="V42" i="3" s="1"/>
  <c r="M41" i="3"/>
  <c r="G41" i="3"/>
  <c r="S40" i="3"/>
  <c r="M40" i="3" s="1"/>
  <c r="G40" i="3"/>
  <c r="V40" i="3" s="1"/>
  <c r="V39" i="3"/>
  <c r="S39" i="3"/>
  <c r="P39" i="3"/>
  <c r="P38" i="3" s="1"/>
  <c r="G39" i="3"/>
  <c r="R38" i="3"/>
  <c r="Q38" i="3"/>
  <c r="O38" i="3"/>
  <c r="N38" i="3"/>
  <c r="L38" i="3"/>
  <c r="K38" i="3"/>
  <c r="J38" i="3"/>
  <c r="I38" i="3"/>
  <c r="H38" i="3"/>
  <c r="V37" i="3"/>
  <c r="M37" i="3"/>
  <c r="G37" i="3"/>
  <c r="M36" i="3"/>
  <c r="G36" i="3"/>
  <c r="V36" i="3" s="1"/>
  <c r="M35" i="3"/>
  <c r="G35" i="3"/>
  <c r="G34" i="3" s="1"/>
  <c r="T34" i="3"/>
  <c r="S34" i="3"/>
  <c r="R34" i="3"/>
  <c r="R33" i="3" s="1"/>
  <c r="R21" i="3" s="1"/>
  <c r="Q34" i="3"/>
  <c r="P34" i="3"/>
  <c r="O34" i="3"/>
  <c r="N34" i="3"/>
  <c r="M34" i="3"/>
  <c r="L34" i="3"/>
  <c r="K34" i="3"/>
  <c r="J34" i="3"/>
  <c r="I34" i="3"/>
  <c r="I33" i="3" s="1"/>
  <c r="H34" i="3"/>
  <c r="F34" i="3"/>
  <c r="Q33" i="3"/>
  <c r="K33" i="3"/>
  <c r="J33" i="3"/>
  <c r="M32" i="3"/>
  <c r="G32" i="3"/>
  <c r="V32" i="3" s="1"/>
  <c r="M31" i="3"/>
  <c r="G31" i="3"/>
  <c r="V31" i="3" s="1"/>
  <c r="V30" i="3"/>
  <c r="M30" i="3"/>
  <c r="G30" i="3"/>
  <c r="M29" i="3"/>
  <c r="G29" i="3"/>
  <c r="V29" i="3" s="1"/>
  <c r="V28" i="3"/>
  <c r="M28" i="3"/>
  <c r="G28" i="3"/>
  <c r="M27" i="3"/>
  <c r="G27" i="3"/>
  <c r="V27" i="3" s="1"/>
  <c r="M26" i="3"/>
  <c r="G26" i="3"/>
  <c r="V26" i="3" s="1"/>
  <c r="M25" i="3"/>
  <c r="G25" i="3"/>
  <c r="V25" i="3" s="1"/>
  <c r="V24" i="3"/>
  <c r="M24" i="3"/>
  <c r="G24" i="3"/>
  <c r="M23" i="3"/>
  <c r="G23" i="3"/>
  <c r="T22" i="3"/>
  <c r="S22" i="3"/>
  <c r="R22" i="3"/>
  <c r="Q22" i="3"/>
  <c r="P22" i="3"/>
  <c r="O22" i="3"/>
  <c r="N22" i="3"/>
  <c r="L22" i="3"/>
  <c r="K22" i="3"/>
  <c r="K21" i="3" s="1"/>
  <c r="J22" i="3"/>
  <c r="J21" i="3" s="1"/>
  <c r="I22" i="3"/>
  <c r="H22" i="3"/>
  <c r="F22" i="3"/>
  <c r="S18" i="3"/>
  <c r="M18" i="3" s="1"/>
  <c r="M17" i="3"/>
  <c r="S16" i="3"/>
  <c r="M16" i="3" s="1"/>
  <c r="R15" i="3"/>
  <c r="Q15" i="3"/>
  <c r="P15" i="3"/>
  <c r="O15" i="3"/>
  <c r="N15" i="3"/>
  <c r="S14" i="3"/>
  <c r="M14" i="3" s="1"/>
  <c r="S12" i="3"/>
  <c r="Q12" i="3"/>
  <c r="O12" i="3"/>
  <c r="J444" i="3" l="1"/>
  <c r="J429" i="3" s="1"/>
  <c r="K444" i="3"/>
  <c r="F444" i="3"/>
  <c r="F20" i="3" s="1"/>
  <c r="F19" i="3" s="1"/>
  <c r="F11" i="3" s="1"/>
  <c r="H444" i="3"/>
  <c r="H429" i="3" s="1"/>
  <c r="I270" i="3"/>
  <c r="I499" i="3"/>
  <c r="P310" i="3"/>
  <c r="G46" i="3"/>
  <c r="V46" i="3" s="1"/>
  <c r="H52" i="3"/>
  <c r="T52" i="3"/>
  <c r="L52" i="3"/>
  <c r="N107" i="3"/>
  <c r="N76" i="3" s="1"/>
  <c r="N52" i="3" s="1"/>
  <c r="O129" i="3"/>
  <c r="N179" i="3"/>
  <c r="L296" i="3"/>
  <c r="O299" i="3"/>
  <c r="O296" i="3" s="1"/>
  <c r="T317" i="3"/>
  <c r="T310" i="3" s="1"/>
  <c r="G417" i="3"/>
  <c r="V417" i="3" s="1"/>
  <c r="R475" i="3"/>
  <c r="R474" i="3" s="1"/>
  <c r="V514" i="3"/>
  <c r="M15" i="3"/>
  <c r="Q343" i="3"/>
  <c r="V35" i="3"/>
  <c r="G163" i="3"/>
  <c r="V163" i="3" s="1"/>
  <c r="P240" i="3"/>
  <c r="P226" i="3" s="1"/>
  <c r="S289" i="3"/>
  <c r="H310" i="3"/>
  <c r="V320" i="3"/>
  <c r="N327" i="3"/>
  <c r="V342" i="3"/>
  <c r="M411" i="3"/>
  <c r="M417" i="3"/>
  <c r="M414" i="3" s="1"/>
  <c r="N444" i="3"/>
  <c r="N429" i="3" s="1"/>
  <c r="M455" i="3"/>
  <c r="G476" i="3"/>
  <c r="G475" i="3" s="1"/>
  <c r="V475" i="3" s="1"/>
  <c r="M509" i="3"/>
  <c r="S754" i="3"/>
  <c r="L779" i="3"/>
  <c r="K1049" i="3"/>
  <c r="L33" i="3"/>
  <c r="L21" i="3" s="1"/>
  <c r="J240" i="3"/>
  <c r="J226" i="3" s="1"/>
  <c r="T240" i="3"/>
  <c r="T226" i="3" s="1"/>
  <c r="V288" i="3"/>
  <c r="Q296" i="3"/>
  <c r="I414" i="3"/>
  <c r="I411" i="3" s="1"/>
  <c r="M686" i="3"/>
  <c r="M684" i="3" s="1"/>
  <c r="V755" i="3"/>
  <c r="H1037" i="3"/>
  <c r="K1170" i="3"/>
  <c r="V1170" i="3" s="1"/>
  <c r="P76" i="3"/>
  <c r="P52" i="3" s="1"/>
  <c r="G107" i="3"/>
  <c r="S212" i="3"/>
  <c r="G227" i="3"/>
  <c r="K226" i="3"/>
  <c r="G249" i="3"/>
  <c r="V249" i="3" s="1"/>
  <c r="J317" i="3"/>
  <c r="J310" i="3" s="1"/>
  <c r="G334" i="3"/>
  <c r="G333" i="3" s="1"/>
  <c r="L333" i="3"/>
  <c r="L327" i="3" s="1"/>
  <c r="H343" i="3"/>
  <c r="K411" i="3"/>
  <c r="P414" i="3"/>
  <c r="G460" i="3"/>
  <c r="V460" i="3" s="1"/>
  <c r="M481" i="3"/>
  <c r="V501" i="3"/>
  <c r="S1209" i="3"/>
  <c r="V1317" i="3"/>
  <c r="V303" i="3"/>
  <c r="H21" i="3"/>
  <c r="G22" i="3"/>
  <c r="N33" i="3"/>
  <c r="G53" i="3"/>
  <c r="Q52" i="3"/>
  <c r="S107" i="3"/>
  <c r="S143" i="3"/>
  <c r="S129" i="3" s="1"/>
  <c r="R186" i="3"/>
  <c r="H226" i="3"/>
  <c r="M249" i="3"/>
  <c r="V256" i="3"/>
  <c r="H270" i="3"/>
  <c r="M289" i="3"/>
  <c r="G300" i="3"/>
  <c r="G299" i="3" s="1"/>
  <c r="V299" i="3" s="1"/>
  <c r="G311" i="3"/>
  <c r="V322" i="3"/>
  <c r="M344" i="3"/>
  <c r="K429" i="3"/>
  <c r="G430" i="3"/>
  <c r="M501" i="3"/>
  <c r="K1303" i="3"/>
  <c r="I21" i="3"/>
  <c r="M22" i="3"/>
  <c r="P33" i="3"/>
  <c r="P21" i="3" s="1"/>
  <c r="R76" i="3"/>
  <c r="R52" i="3" s="1"/>
  <c r="T129" i="3"/>
  <c r="S169" i="3"/>
  <c r="M180" i="3"/>
  <c r="M212" i="3"/>
  <c r="M227" i="3"/>
  <c r="I240" i="3"/>
  <c r="I226" i="3" s="1"/>
  <c r="P270" i="3"/>
  <c r="V307" i="3"/>
  <c r="R310" i="3"/>
  <c r="M322" i="3"/>
  <c r="M317" i="3" s="1"/>
  <c r="M310" i="3" s="1"/>
  <c r="R333" i="3"/>
  <c r="J343" i="3"/>
  <c r="R414" i="3"/>
  <c r="K755" i="3"/>
  <c r="L1037" i="3"/>
  <c r="K1055" i="3"/>
  <c r="G187" i="3"/>
  <c r="T179" i="3"/>
  <c r="S256" i="3"/>
  <c r="Q280" i="3"/>
  <c r="Q270" i="3" s="1"/>
  <c r="G289" i="3"/>
  <c r="V289" i="3" s="1"/>
  <c r="G297" i="3"/>
  <c r="V297" i="3" s="1"/>
  <c r="I299" i="3"/>
  <c r="I296" i="3" s="1"/>
  <c r="N310" i="3"/>
  <c r="S318" i="3"/>
  <c r="S322" i="3"/>
  <c r="V500" i="3"/>
  <c r="M187" i="3"/>
  <c r="Q21" i="3"/>
  <c r="O33" i="3"/>
  <c r="O21" i="3" s="1"/>
  <c r="G77" i="3"/>
  <c r="G76" i="3" s="1"/>
  <c r="G93" i="3"/>
  <c r="V93" i="3" s="1"/>
  <c r="M163" i="3"/>
  <c r="H179" i="3"/>
  <c r="Q186" i="3"/>
  <c r="M241" i="3"/>
  <c r="G336" i="3"/>
  <c r="L372" i="3"/>
  <c r="L343" i="3" s="1"/>
  <c r="P411" i="3"/>
  <c r="G445" i="3"/>
  <c r="I444" i="3"/>
  <c r="I429" i="3" s="1"/>
  <c r="I475" i="3"/>
  <c r="I474" i="3" s="1"/>
  <c r="L595" i="3"/>
  <c r="L513" i="3" s="1"/>
  <c r="L499" i="3" s="1"/>
  <c r="H499" i="3"/>
  <c r="V1320" i="3"/>
  <c r="Q499" i="3"/>
  <c r="G1296" i="3"/>
  <c r="V1296" i="3" s="1"/>
  <c r="F33" i="3"/>
  <c r="F21" i="3" s="1"/>
  <c r="H129" i="3"/>
  <c r="J143" i="3"/>
  <c r="L179" i="3"/>
  <c r="L226" i="3"/>
  <c r="N21" i="3"/>
  <c r="M130" i="3"/>
  <c r="M129" i="3" s="1"/>
  <c r="M144" i="3"/>
  <c r="M143" i="3" s="1"/>
  <c r="T270" i="3"/>
  <c r="M286" i="3"/>
  <c r="K299" i="3"/>
  <c r="K296" i="3" s="1"/>
  <c r="Q317" i="3"/>
  <c r="Q310" i="3" s="1"/>
  <c r="V337" i="3"/>
  <c r="O372" i="3"/>
  <c r="J414" i="3"/>
  <c r="J411" i="3" s="1"/>
  <c r="V461" i="3"/>
  <c r="O475" i="3"/>
  <c r="O474" i="3" s="1"/>
  <c r="M784" i="3"/>
  <c r="G130" i="3"/>
  <c r="V130" i="3" s="1"/>
  <c r="M271" i="3"/>
  <c r="S303" i="3"/>
  <c r="V336" i="3"/>
  <c r="H33" i="3"/>
  <c r="T33" i="3"/>
  <c r="T21" i="3" s="1"/>
  <c r="G38" i="3"/>
  <c r="V38" i="3" s="1"/>
  <c r="J76" i="3"/>
  <c r="J52" i="3" s="1"/>
  <c r="I76" i="3"/>
  <c r="I52" i="3" s="1"/>
  <c r="S93" i="3"/>
  <c r="S76" i="3" s="1"/>
  <c r="S52" i="3" s="1"/>
  <c r="L143" i="3"/>
  <c r="L129" i="3" s="1"/>
  <c r="G169" i="3"/>
  <c r="V169" i="3" s="1"/>
  <c r="O186" i="3"/>
  <c r="O179" i="3" s="1"/>
  <c r="G212" i="3"/>
  <c r="V212" i="3" s="1"/>
  <c r="G241" i="3"/>
  <c r="O240" i="3"/>
  <c r="O226" i="3" s="1"/>
  <c r="G271" i="3"/>
  <c r="G303" i="3"/>
  <c r="V416" i="3"/>
  <c r="V423" i="3"/>
  <c r="L475" i="3"/>
  <c r="L474" i="3" s="1"/>
  <c r="G686" i="3"/>
  <c r="V686" i="3" s="1"/>
  <c r="M715" i="3"/>
  <c r="M712" i="3" s="1"/>
  <c r="M710" i="3" s="1"/>
  <c r="I779" i="3"/>
  <c r="L888" i="3"/>
  <c r="L863" i="3" s="1"/>
  <c r="V333" i="3"/>
  <c r="V311" i="3"/>
  <c r="G310" i="3"/>
  <c r="V53" i="3"/>
  <c r="M256" i="3"/>
  <c r="M240" i="3" s="1"/>
  <c r="M226" i="3" s="1"/>
  <c r="V77" i="3"/>
  <c r="M77" i="3"/>
  <c r="V144" i="3"/>
  <c r="V180" i="3"/>
  <c r="J129" i="3"/>
  <c r="V241" i="3"/>
  <c r="G240" i="3"/>
  <c r="V240" i="3" s="1"/>
  <c r="V271" i="3"/>
  <c r="M299" i="3"/>
  <c r="M296" i="3" s="1"/>
  <c r="P179" i="3"/>
  <c r="L270" i="3"/>
  <c r="M281" i="3"/>
  <c r="M303" i="3"/>
  <c r="Q179" i="3"/>
  <c r="Q226" i="3"/>
  <c r="R327" i="3"/>
  <c r="M46" i="3"/>
  <c r="R179" i="3"/>
  <c r="V202" i="3"/>
  <c r="G200" i="3"/>
  <c r="R226" i="3"/>
  <c r="P327" i="3"/>
  <c r="M12" i="3"/>
  <c r="V41" i="3"/>
  <c r="V55" i="3"/>
  <c r="V94" i="3"/>
  <c r="K107" i="3"/>
  <c r="V107" i="3" s="1"/>
  <c r="M108" i="3"/>
  <c r="M107" i="3" s="1"/>
  <c r="V146" i="3"/>
  <c r="V158" i="3"/>
  <c r="V183" i="3"/>
  <c r="V313" i="3"/>
  <c r="H333" i="3"/>
  <c r="H327" i="3" s="1"/>
  <c r="T333" i="3"/>
  <c r="T327" i="3" s="1"/>
  <c r="L444" i="3"/>
  <c r="L429" i="3" s="1"/>
  <c r="V470" i="3"/>
  <c r="V471" i="3"/>
  <c r="K889" i="3"/>
  <c r="V891" i="3"/>
  <c r="V34" i="3"/>
  <c r="V78" i="3"/>
  <c r="V131" i="3"/>
  <c r="V167" i="3"/>
  <c r="V171" i="3"/>
  <c r="V187" i="3"/>
  <c r="S200" i="3"/>
  <c r="S186" i="3" s="1"/>
  <c r="S179" i="3" s="1"/>
  <c r="V242" i="3"/>
  <c r="V257" i="3"/>
  <c r="G281" i="3"/>
  <c r="H299" i="3"/>
  <c r="H296" i="3" s="1"/>
  <c r="S307" i="3"/>
  <c r="V318" i="3"/>
  <c r="V321" i="3"/>
  <c r="V334" i="3"/>
  <c r="G344" i="3"/>
  <c r="G481" i="3"/>
  <c r="V481" i="3" s="1"/>
  <c r="V482" i="3"/>
  <c r="V412" i="3"/>
  <c r="S15" i="3"/>
  <c r="V23" i="3"/>
  <c r="M39" i="3"/>
  <c r="M38" i="3" s="1"/>
  <c r="M33" i="3" s="1"/>
  <c r="M95" i="3"/>
  <c r="M93" i="3" s="1"/>
  <c r="V108" i="3"/>
  <c r="V219" i="3"/>
  <c r="V227" i="3"/>
  <c r="V250" i="3"/>
  <c r="V273" i="3"/>
  <c r="V291" i="3"/>
  <c r="M430" i="3"/>
  <c r="G715" i="3"/>
  <c r="K784" i="3"/>
  <c r="K754" i="3" s="1"/>
  <c r="V754" i="3" s="1"/>
  <c r="V786" i="3"/>
  <c r="K870" i="3"/>
  <c r="K317" i="3"/>
  <c r="K310" i="3" s="1"/>
  <c r="L411" i="3"/>
  <c r="S38" i="3"/>
  <c r="S33" i="3" s="1"/>
  <c r="S21" i="3" s="1"/>
  <c r="M201" i="3"/>
  <c r="M200" i="3" s="1"/>
  <c r="M186" i="3" s="1"/>
  <c r="M179" i="3" s="1"/>
  <c r="V329" i="3"/>
  <c r="G328" i="3"/>
  <c r="N372" i="3"/>
  <c r="N343" i="3" s="1"/>
  <c r="S373" i="3"/>
  <c r="S372" i="3" s="1"/>
  <c r="S343" i="3" s="1"/>
  <c r="M376" i="3"/>
  <c r="M373" i="3" s="1"/>
  <c r="M372" i="3" s="1"/>
  <c r="M343" i="3" s="1"/>
  <c r="G381" i="3"/>
  <c r="V381" i="3" s="1"/>
  <c r="V430" i="3"/>
  <c r="M906" i="3"/>
  <c r="G1136" i="3"/>
  <c r="V1137" i="3"/>
  <c r="K864" i="3"/>
  <c r="V865" i="3"/>
  <c r="V889" i="3"/>
  <c r="V1158" i="3"/>
  <c r="K1140" i="3"/>
  <c r="K200" i="3"/>
  <c r="K186" i="3" s="1"/>
  <c r="K179" i="3" s="1"/>
  <c r="S286" i="3"/>
  <c r="J327" i="3"/>
  <c r="P372" i="3"/>
  <c r="P343" i="3" s="1"/>
  <c r="M461" i="3"/>
  <c r="S46" i="3"/>
  <c r="S241" i="3"/>
  <c r="O317" i="3"/>
  <c r="O310" i="3" s="1"/>
  <c r="V323" i="3"/>
  <c r="O333" i="3"/>
  <c r="O327" i="3" s="1"/>
  <c r="M337" i="3"/>
  <c r="M336" i="3" s="1"/>
  <c r="M333" i="3" s="1"/>
  <c r="M327" i="3" s="1"/>
  <c r="S336" i="3"/>
  <c r="S333" i="3" s="1"/>
  <c r="S327" i="3" s="1"/>
  <c r="V415" i="3"/>
  <c r="G414" i="3"/>
  <c r="I426" i="3"/>
  <c r="I425" i="3" s="1"/>
  <c r="I424" i="3" s="1"/>
  <c r="V428" i="3"/>
  <c r="O429" i="3"/>
  <c r="V445" i="3"/>
  <c r="K595" i="3"/>
  <c r="K513" i="3" s="1"/>
  <c r="V513" i="3" s="1"/>
  <c r="V596" i="3"/>
  <c r="V870" i="3"/>
  <c r="M1136" i="3"/>
  <c r="R411" i="3"/>
  <c r="V422" i="3"/>
  <c r="G421" i="3"/>
  <c r="M864" i="3"/>
  <c r="S249" i="3"/>
  <c r="Q333" i="3"/>
  <c r="Q327" i="3" s="1"/>
  <c r="O343" i="3"/>
  <c r="T372" i="3"/>
  <c r="T343" i="3" s="1"/>
  <c r="S381" i="3"/>
  <c r="Q429" i="3"/>
  <c r="M779" i="3"/>
  <c r="M1014" i="3"/>
  <c r="V374" i="3"/>
  <c r="G373" i="3"/>
  <c r="M595" i="3"/>
  <c r="S513" i="3"/>
  <c r="V1308" i="3"/>
  <c r="G1304" i="3"/>
  <c r="G1139" i="3"/>
  <c r="M452" i="3"/>
  <c r="M445" i="3" s="1"/>
  <c r="M444" i="3" s="1"/>
  <c r="V472" i="3"/>
  <c r="K906" i="3"/>
  <c r="V906" i="3" s="1"/>
  <c r="K1038" i="3"/>
  <c r="V1039" i="3"/>
  <c r="M1137" i="3"/>
  <c r="G1200" i="3"/>
  <c r="V1202" i="3"/>
  <c r="V432" i="3"/>
  <c r="V469" i="3"/>
  <c r="V718" i="3"/>
  <c r="V1055" i="3"/>
  <c r="M1303" i="3"/>
  <c r="G426" i="3"/>
  <c r="M480" i="3"/>
  <c r="M478" i="3" s="1"/>
  <c r="M475" i="3" s="1"/>
  <c r="M474" i="3" s="1"/>
  <c r="G864" i="3"/>
  <c r="M889" i="3"/>
  <c r="V1057" i="3"/>
  <c r="K1190" i="3"/>
  <c r="K1177" i="3" s="1"/>
  <c r="V1177" i="3" s="1"/>
  <c r="V1190" i="3"/>
  <c r="S1303" i="3"/>
  <c r="S1387" i="3" s="1"/>
  <c r="M1387" i="3" s="1"/>
  <c r="V1049" i="3"/>
  <c r="G888" i="3"/>
  <c r="S1037" i="3"/>
  <c r="M1037" i="3" s="1"/>
  <c r="G1269" i="3"/>
  <c r="V1269" i="3" s="1"/>
  <c r="V687" i="3"/>
  <c r="G1013" i="3"/>
  <c r="G1210" i="3"/>
  <c r="V1212" i="3"/>
  <c r="S906" i="3"/>
  <c r="S888" i="3" s="1"/>
  <c r="K1014" i="3"/>
  <c r="S1139" i="3"/>
  <c r="M1139" i="3" s="1"/>
  <c r="I20" i="3" l="1"/>
  <c r="I19" i="3" s="1"/>
  <c r="V595" i="3"/>
  <c r="S1382" i="3"/>
  <c r="M1382" i="3" s="1"/>
  <c r="M754" i="3"/>
  <c r="Q20" i="3"/>
  <c r="Q19" i="3" s="1"/>
  <c r="Q11" i="3" s="1"/>
  <c r="L20" i="3"/>
  <c r="J20" i="3"/>
  <c r="J19" i="3" s="1"/>
  <c r="S1199" i="3"/>
  <c r="M1209" i="3"/>
  <c r="G474" i="3"/>
  <c r="V474" i="3" s="1"/>
  <c r="O20" i="3"/>
  <c r="O19" i="3" s="1"/>
  <c r="O11" i="3" s="1"/>
  <c r="T20" i="3"/>
  <c r="T19" i="3" s="1"/>
  <c r="T11" i="3" s="1"/>
  <c r="V300" i="3"/>
  <c r="V22" i="3"/>
  <c r="M500" i="3"/>
  <c r="M280" i="3"/>
  <c r="M270" i="3" s="1"/>
  <c r="G143" i="3"/>
  <c r="V143" i="3" s="1"/>
  <c r="V476" i="3"/>
  <c r="M429" i="3"/>
  <c r="N20" i="3"/>
  <c r="N19" i="3" s="1"/>
  <c r="N11" i="3" s="1"/>
  <c r="S299" i="3"/>
  <c r="S296" i="3" s="1"/>
  <c r="G684" i="3"/>
  <c r="V684" i="3" s="1"/>
  <c r="R20" i="3"/>
  <c r="R19" i="3" s="1"/>
  <c r="R11" i="3" s="1"/>
  <c r="G129" i="3"/>
  <c r="V129" i="3" s="1"/>
  <c r="S317" i="3"/>
  <c r="S310" i="3" s="1"/>
  <c r="M21" i="3"/>
  <c r="G296" i="3"/>
  <c r="G455" i="3"/>
  <c r="S1135" i="3"/>
  <c r="V414" i="3"/>
  <c r="S280" i="3"/>
  <c r="S270" i="3" s="1"/>
  <c r="G33" i="3"/>
  <c r="V33" i="3" s="1"/>
  <c r="L19" i="3"/>
  <c r="M888" i="3"/>
  <c r="S863" i="3"/>
  <c r="S1383" i="3" s="1"/>
  <c r="M1383" i="3" s="1"/>
  <c r="H20" i="3"/>
  <c r="H19" i="3" s="1"/>
  <c r="K1037" i="3"/>
  <c r="V1037" i="3" s="1"/>
  <c r="V1038" i="3"/>
  <c r="K1139" i="3"/>
  <c r="K1135" i="3" s="1"/>
  <c r="P20" i="3"/>
  <c r="P19" i="3" s="1"/>
  <c r="P11" i="3" s="1"/>
  <c r="S1013" i="3"/>
  <c r="V310" i="3"/>
  <c r="V200" i="3"/>
  <c r="V373" i="3"/>
  <c r="G372" i="3"/>
  <c r="V372" i="3" s="1"/>
  <c r="V344" i="3"/>
  <c r="V1140" i="3"/>
  <c r="V715" i="3"/>
  <c r="G712" i="3"/>
  <c r="G411" i="3"/>
  <c r="V411" i="3" s="1"/>
  <c r="V296" i="3"/>
  <c r="K1013" i="3"/>
  <c r="V1013" i="3" s="1"/>
  <c r="V1014" i="3"/>
  <c r="S240" i="3"/>
  <c r="S226" i="3" s="1"/>
  <c r="S20" i="3" s="1"/>
  <c r="G186" i="3"/>
  <c r="V426" i="3"/>
  <c r="G425" i="3"/>
  <c r="V328" i="3"/>
  <c r="G327" i="3"/>
  <c r="V327" i="3" s="1"/>
  <c r="M76" i="3"/>
  <c r="M52" i="3" s="1"/>
  <c r="M20" i="3" s="1"/>
  <c r="K888" i="3"/>
  <c r="K863" i="3" s="1"/>
  <c r="G420" i="3"/>
  <c r="V420" i="3" s="1"/>
  <c r="V421" i="3"/>
  <c r="G280" i="3"/>
  <c r="V281" i="3"/>
  <c r="V317" i="3"/>
  <c r="V1200" i="3"/>
  <c r="V1136" i="3"/>
  <c r="G1135" i="3"/>
  <c r="V784" i="3"/>
  <c r="K76" i="3"/>
  <c r="K52" i="3" s="1"/>
  <c r="K20" i="3" s="1"/>
  <c r="G226" i="3"/>
  <c r="V226" i="3" s="1"/>
  <c r="G52" i="3"/>
  <c r="M1135" i="3"/>
  <c r="S1385" i="3"/>
  <c r="M1385" i="3" s="1"/>
  <c r="G1303" i="3"/>
  <c r="V1303" i="3" s="1"/>
  <c r="V1304" i="3"/>
  <c r="G1209" i="3"/>
  <c r="V1209" i="3" s="1"/>
  <c r="V1210" i="3"/>
  <c r="V864" i="3"/>
  <c r="G863" i="3"/>
  <c r="S1379" i="3"/>
  <c r="M513" i="3"/>
  <c r="K779" i="3"/>
  <c r="V779" i="3" s="1"/>
  <c r="S1386" i="3" l="1"/>
  <c r="M1386" i="3" s="1"/>
  <c r="M1199" i="3"/>
  <c r="M863" i="3"/>
  <c r="V76" i="3"/>
  <c r="V455" i="3"/>
  <c r="G444" i="3"/>
  <c r="K499" i="3"/>
  <c r="K19" i="3" s="1"/>
  <c r="V1135" i="3"/>
  <c r="G343" i="3"/>
  <c r="V343" i="3" s="1"/>
  <c r="G21" i="3"/>
  <c r="V21" i="3" s="1"/>
  <c r="V888" i="3"/>
  <c r="V863" i="3"/>
  <c r="M1013" i="3"/>
  <c r="S1384" i="3"/>
  <c r="M1384" i="3" s="1"/>
  <c r="G424" i="3"/>
  <c r="V424" i="3" s="1"/>
  <c r="V425" i="3"/>
  <c r="V186" i="3"/>
  <c r="G179" i="3"/>
  <c r="V280" i="3"/>
  <c r="G270" i="3"/>
  <c r="V270" i="3" s="1"/>
  <c r="G1199" i="3"/>
  <c r="V1199" i="3" s="1"/>
  <c r="S499" i="3"/>
  <c r="V52" i="3"/>
  <c r="V1139" i="3"/>
  <c r="M1379" i="3"/>
  <c r="G710" i="3"/>
  <c r="V712" i="3"/>
  <c r="V444" i="3" l="1"/>
  <c r="G429" i="3"/>
  <c r="V429" i="3" s="1"/>
  <c r="M1378" i="3"/>
  <c r="M499" i="3"/>
  <c r="M19" i="3"/>
  <c r="M11" i="3" s="1"/>
  <c r="M4" i="3" s="1"/>
  <c r="V179" i="3"/>
  <c r="V710" i="3"/>
  <c r="G499" i="3"/>
  <c r="V499" i="3" s="1"/>
  <c r="S1378" i="3"/>
  <c r="S19" i="3" s="1"/>
  <c r="S11" i="3" s="1"/>
  <c r="G20" i="3" l="1"/>
  <c r="G19" i="3"/>
  <c r="V19" i="3" s="1"/>
  <c r="V20" i="3"/>
</calcChain>
</file>

<file path=xl/comments1.xml><?xml version="1.0" encoding="utf-8"?>
<comments xmlns="http://schemas.openxmlformats.org/spreadsheetml/2006/main">
  <authors>
    <author>Computer</author>
  </authors>
  <commentList>
    <comment ref="D1147" authorId="0" shapeId="0">
      <text>
        <r>
          <rPr>
            <b/>
            <sz val="9"/>
            <color indexed="81"/>
            <rFont val="Tahoma"/>
            <family val="2"/>
          </rPr>
          <t>Computer:</t>
        </r>
        <r>
          <rPr>
            <sz val="9"/>
            <color indexed="81"/>
            <rFont val="Tahoma"/>
            <family val="2"/>
          </rPr>
          <t xml:space="preserve">
Xem lại Tổng mức còn thuộc dự án nhóm B không</t>
        </r>
      </text>
    </comment>
  </commentList>
</comments>
</file>

<file path=xl/sharedStrings.xml><?xml version="1.0" encoding="utf-8"?>
<sst xmlns="http://schemas.openxmlformats.org/spreadsheetml/2006/main" count="6125" uniqueCount="2785">
  <si>
    <t>Đơn vị tính: triệu đồng</t>
  </si>
  <si>
    <t>TT</t>
  </si>
  <si>
    <t xml:space="preserve">Danh mục dự án </t>
  </si>
  <si>
    <t>Nhóm dự án A/B/C</t>
  </si>
  <si>
    <t>Thời gian khởi công - hoàn thành</t>
  </si>
  <si>
    <t xml:space="preserve">Quyết định đầu tư </t>
  </si>
  <si>
    <t>Vốn giải ngân từ khởi công đến năm 2020 (bao gồm số vốn đã được cấp thẩm quyền cho phép kéo dài sang năm 2021)</t>
  </si>
  <si>
    <t xml:space="preserve">Tổng số </t>
  </si>
  <si>
    <t>Kế hoạch vốn đầu tư công giai đoạn 2021-2025</t>
  </si>
  <si>
    <t>Ghi chú</t>
  </si>
  <si>
    <t>Số quyết định; ngày, tháng, năm ban hành</t>
  </si>
  <si>
    <t xml:space="preserve">TMĐT </t>
  </si>
  <si>
    <t>Tổng số (tất cả các nguồn vốn)</t>
  </si>
  <si>
    <t>NSTW</t>
  </si>
  <si>
    <t>Chính phủ vay về cho vay lại</t>
  </si>
  <si>
    <t>NSĐP</t>
  </si>
  <si>
    <t>Bội chi Ngân sách địa phương</t>
  </si>
  <si>
    <t>Dự phòng NSTW</t>
  </si>
  <si>
    <t>Vốn trong nước</t>
  </si>
  <si>
    <t>Vốn nước ngoài</t>
  </si>
  <si>
    <t>Nguồn vốn Trái phiếu Chính quyền địa phương</t>
  </si>
  <si>
    <t>TỔNG SỐ=A+B+C</t>
  </si>
  <si>
    <t>A</t>
  </si>
  <si>
    <t>Vốn dự phòng chưa phân bổ chi tiết</t>
  </si>
  <si>
    <t>Vốn chuẩn bị đầu tư và vốn quy hoạch (chưa phân bổ)</t>
  </si>
  <si>
    <t>Vốn thực hiện dự án chưa phân bổ</t>
  </si>
  <si>
    <t>B</t>
  </si>
  <si>
    <t xml:space="preserve">Ủy thác vốn NSĐP và hỗ trợ đầu tư </t>
  </si>
  <si>
    <t>Cấp vốn điều lệ cho Quỹ Phát triển đất thành phố</t>
  </si>
  <si>
    <t>Hỗ trợ liên kết sản xuất và tiêu thụ sản phẩm nông nghiệp</t>
  </si>
  <si>
    <t>Cấp vốn ủy thác cho Chi nhánh Ngân hàng Chính sách xã hội thành phố Cần Thơ</t>
  </si>
  <si>
    <t>C</t>
  </si>
  <si>
    <t>Vốn phân bổ chi tiết=I+II+III</t>
  </si>
  <si>
    <t>I</t>
  </si>
  <si>
    <t>Vốn bố trí theo ngành, lĩnh vực</t>
  </si>
  <si>
    <t>(1)</t>
  </si>
  <si>
    <t>Công trình công cộng tại các đô thị, hạ tầng kỹ thuật khu đô thị mới</t>
  </si>
  <si>
    <t>a</t>
  </si>
  <si>
    <t>Vốn chuẩn bị đầu tư</t>
  </si>
  <si>
    <t xml:space="preserve">Dự án xây dựng chung cư tái định cư An Bình thuộc phường An Bình, quận Ninh Kiều </t>
  </si>
  <si>
    <t>Ninh Kiều</t>
  </si>
  <si>
    <t>2020-2021</t>
  </si>
  <si>
    <t>2658/QĐ-UBND ngày 24/11/2020</t>
  </si>
  <si>
    <t>Hạ tầng tuyến đường số 12, số 13 (nhánh trái) và số 33 thuộc khu đô thị hai bên đường NVC (đoạn Cái Sơn-Hàng Bàng đến đường Tỉnh 923)</t>
  </si>
  <si>
    <t>3058/QĐ-UBND ngày 30/12/2020</t>
  </si>
  <si>
    <t>Khu tái định cư phục vụ Khu công nghiệp huyện Vĩnh Thạnh (giai đoạn 1)</t>
  </si>
  <si>
    <t>Vĩnh Thạnh</t>
  </si>
  <si>
    <t>2022-2023</t>
  </si>
  <si>
    <t>6229/UBND-XDĐT ngày 06/12/2021
8650/QĐ-UBND ngày 31/12/2021</t>
  </si>
  <si>
    <t>Khu tái định cư Vĩnh Thạnh giai đoạn 2</t>
  </si>
  <si>
    <t>5587/UBND-XDĐT ngày 10/12/2024</t>
  </si>
  <si>
    <t>Khu tái định cư (khu D) - khu di tích lịch sử Lộ Vòng Cung</t>
  </si>
  <si>
    <t>Phong Điền</t>
  </si>
  <si>
    <t>89/UBND-XDĐT ngày 08/11/2021 
2594/QĐ-UBND ngày 22/07/2022</t>
  </si>
  <si>
    <t>Khu tái định cư Phong Điền (giai đoạn 2)</t>
  </si>
  <si>
    <t>2024-2025</t>
  </si>
  <si>
    <t>4057/UBND-XDĐT ngày 09/10/2023
4342/QĐ-UBND ngày 30/10/2023 của UBND huyện Phong Điền</t>
  </si>
  <si>
    <t>Khu tái định cư quận Cái Răng</t>
  </si>
  <si>
    <t>Cái Răng</t>
  </si>
  <si>
    <t>2020-2022</t>
  </si>
  <si>
    <t>2589/QĐ-UBND ngày 28/10/2019</t>
  </si>
  <si>
    <t>Khu tái định cư quận Thốt Nốt (Khu 2), phường Trung Kiên</t>
  </si>
  <si>
    <t xml:space="preserve">5206/UBND-XDĐT ngày 20/11/2024 188/QĐ-UBND ngày 10/02/2025 </t>
  </si>
  <si>
    <t>Khu tái định cư quận Ô Môn (giai đoạn 2)</t>
  </si>
  <si>
    <t>Ô Môn</t>
  </si>
  <si>
    <t>4057/UBND-XDĐT ngày 09/10/2023
10615/QĐ-UBND ngày 02/11/2023 của UBND quận Ô Môn</t>
  </si>
  <si>
    <t>Khu tái định cư huyện Thới Lai</t>
  </si>
  <si>
    <t>Thới Lai</t>
  </si>
  <si>
    <t>4057/UBND-XDĐT ngày 09/10/2023
5479/QĐ-UBND ngày 30/10/2023 của UBND huyện Thới lai</t>
  </si>
  <si>
    <t>b</t>
  </si>
  <si>
    <t xml:space="preserve">Vốn thực hiện dự án </t>
  </si>
  <si>
    <t>*</t>
  </si>
  <si>
    <t>Dự án hoàn thành đưa vào sử dụng giai đoạn trước</t>
  </si>
  <si>
    <t>Khu tái định cư Trung tâm Văn hóa Tây Đô - giai đoạn 1</t>
  </si>
  <si>
    <t>2006-2019</t>
  </si>
  <si>
    <t>1699/QĐ-UBND ngày 20/7/2016,
3315/QĐ-UBND ngày 06/11/2015</t>
  </si>
  <si>
    <t>Đường số 9 cạnh Bệnh viện Ung bướu và Đường số 11 cạnh rạch Rau Răm.</t>
  </si>
  <si>
    <t>2017-2020</t>
  </si>
  <si>
    <t>3404/QĐ-UBND ngày 13/11/2015; 
1865/QĐ-UBND ngày 26/7/2018.</t>
  </si>
  <si>
    <t>Hạ tầng Khu dân cư - Khu tái định cư hai bên đường Nguyễn Văn Cừ.</t>
  </si>
  <si>
    <t>2016-2018</t>
  </si>
  <si>
    <t>- Quyết định số 3242/QĐ-UBND ngày 30/10/2015.</t>
  </si>
  <si>
    <t>**</t>
  </si>
  <si>
    <t>Dự án chuyển tiếp</t>
  </si>
  <si>
    <t>Phát triển thành phố Cần Thơ và tăng cường khả năng thích ứng của đô thị (dự án 3)</t>
  </si>
  <si>
    <t>Ninh Kiều - Bình Thủy - Cái Răng</t>
  </si>
  <si>
    <t>2016- 30/6/2024</t>
  </si>
  <si>
    <t>164/QĐ-UBND 20/01/2016; 3432/QĐ-UBND 26/11/2018; 2967/QĐ-UBND 17/8/2022</t>
  </si>
  <si>
    <t>Khu tái định cư quận Ninh Kiều</t>
  </si>
  <si>
    <t>2020-2024</t>
  </si>
  <si>
    <t>2624/QĐ-UBND ngày 30/10/2019</t>
  </si>
  <si>
    <t>Khu tái định cư Bình Thủy (khu 1)</t>
  </si>
  <si>
    <t>Bình Thủy</t>
  </si>
  <si>
    <t>2610/QĐ-UBND ngày 30/10/2019</t>
  </si>
  <si>
    <t>Khu tái định cư quận Ô Môn (Khu 1)</t>
  </si>
  <si>
    <t>2609/QĐ-UBND ngày 30/10/2019</t>
  </si>
  <si>
    <t>Khu tái định cư quận Thốt Nốt (Khu 1)</t>
  </si>
  <si>
    <t>Thốt Nốt</t>
  </si>
  <si>
    <t>2604/QĐ-UBND 29/10/2019</t>
  </si>
  <si>
    <t>Khu tái định cư huyện Phong Điền</t>
  </si>
  <si>
    <t>2625/QĐ-UBND ngày 30/10/2019
1367/QĐ-UBND ngày 28/6/2021</t>
  </si>
  <si>
    <t>38/NQ-HĐND ngày 04/12/2020</t>
  </si>
  <si>
    <t>***</t>
  </si>
  <si>
    <t>Dự án khởi công mới</t>
  </si>
  <si>
    <t>Khu tái định cư phường Long Hòa (khu 2)</t>
  </si>
  <si>
    <t>2019-2023</t>
  </si>
  <si>
    <t>795/QĐ-UBND ngày 15/4/2021</t>
  </si>
  <si>
    <t xml:space="preserve">Chuyển CĐT theo QĐ 956 ngày 23-4-2024 từ TTPTQĐ sang UBND Q.BT </t>
  </si>
  <si>
    <t>Xây dựng hạ tầng kỹ thuật khu tái định cư tại phường Thường Thạnh, quận Cái Răng</t>
  </si>
  <si>
    <t>2021-2023</t>
  </si>
  <si>
    <t>1036/QĐ-UBND ngày 14/5/2021</t>
  </si>
  <si>
    <t>Xây dựng hạ tầng kỹ thuật khu tái định cư thuộc khu đô thị đường Nguyễn Văn Cừ (đoạn từ đường Cái Sơn Hàng Bàng đến ĐT 923)</t>
  </si>
  <si>
    <t>2023-2025</t>
  </si>
  <si>
    <t>2479-QĐ-UBND ngày 03/7/2023</t>
  </si>
  <si>
    <t>Khu tái định cư phường Thới Thuận (gđ 2)</t>
  </si>
  <si>
    <t>2022-2025</t>
  </si>
  <si>
    <t>1282/QĐ-UBND ngày 04/5/2022</t>
  </si>
  <si>
    <t>(2)</t>
  </si>
  <si>
    <t>Giao thông</t>
  </si>
  <si>
    <t>Đường ô tô sau công viên kè sông Cần Thơ</t>
  </si>
  <si>
    <t>2010-2011</t>
  </si>
  <si>
    <t>207/QĐ-BQLDA ngà 21/12/2010
32/QĐ-BQLDA ngày 21/3/2011</t>
  </si>
  <si>
    <t>Cầu Kênh Ngang (trên đường tỉnh 919)</t>
  </si>
  <si>
    <t>Cờ Đỏ</t>
  </si>
  <si>
    <t>2343/QĐ-UBND ngày 23/10/2020</t>
  </si>
  <si>
    <t>Xây dựng và nâng cấp mở rộng đường tỉnh 917</t>
  </si>
  <si>
    <t>Bình Thủy - Phong Điền</t>
  </si>
  <si>
    <t>2344/QĐ-UBND ngày 23/10/2020</t>
  </si>
  <si>
    <t>Đường tỉnh 921: Đoạn tuyến thẳng (điểm đầu giao với tuyến tránh Thốt Nốt - điểm cuối giao với đường cao tốc Cần Thơ - Sóc Trăng - Châu Đốc)</t>
  </si>
  <si>
    <t>Thốt Nốt - Cờ Đỏ</t>
  </si>
  <si>
    <t>2467/QĐ-UBND ngày 03/11/2020</t>
  </si>
  <si>
    <t>Đường tỉnh 918 (Giai đoạn 2)</t>
  </si>
  <si>
    <t>2468/QĐ-UBND ngày 03/11/2020</t>
  </si>
  <si>
    <t>Đường Vành đai phía Tây thành phố Cần Thơ (nối Quốc lộ 91 đến Quốc lộ 80)</t>
  </si>
  <si>
    <t>1646/UBND-XDĐT ngày 14/04/2025</t>
  </si>
  <si>
    <t xml:space="preserve">Cải tạo, đầu tư mới hệ thống tín hiệu giao thông tại các nút giao mất An toàn giao thông, hệ thống đèn chiếu sáng tại các đoạn, tuyến quốc lộ và tỉnh lộ </t>
  </si>
  <si>
    <t>TP.Cần Thơ</t>
  </si>
  <si>
    <t>2418/QĐ-UBND ngày 28/10/2020</t>
  </si>
  <si>
    <t>Trạm dừng, nhà chờ xe buýt: 501 điểm dừng đón trả khách hiện đại</t>
  </si>
  <si>
    <t>2402/QĐ-UBND ngày 28/10/2020</t>
  </si>
  <si>
    <t xml:space="preserve">Đầu tư Hệ thống quản lý giao thông thông minh (ITS) thành phố Cần Thơ giai đoạn 1 (Triển khai các hạng mục như Tủ tín hiệu, đèn tín hiệu, Camera quan sát (CCTV), Hệ thống dò xe (VDS) và Trung tâm điều khiển) </t>
  </si>
  <si>
    <t>Ninh Kiều - Cái Răng - Bình Thủy</t>
  </si>
  <si>
    <t>2575/QĐ-UBND ngày 17/11/2020</t>
  </si>
  <si>
    <t>Dự án ĐTXD 14 Bãi đỗ xe buýt kết hợp điểm đầu - cuối xe buýt: Ba Láng, Cái Cui, KĐT Ô Môn, Phong Điền, Mỹ Khánh, Nam Cờ Đỏ, Bắc Cờ Đỏ, Đông Thới Lai, Tây Thới Lai, Thốt Nốt số 1,  TT. Vĩnh Thạnh, Kênh E,  Kinh B và Sân Bay</t>
  </si>
  <si>
    <t>2403/QĐ-UBND ngày 28/10/2020</t>
  </si>
  <si>
    <t>Đầu tư trang bị phương tiện chuyên dùng phục vụ công tác cho lực lượng Thanh tra Sở Giao thông vận tải, Cảng vụ Đường thủy nội địa trực thuộc Sở Giao thông vận tải</t>
  </si>
  <si>
    <t>2596/QĐ-UBND ngày 19/11/2020</t>
  </si>
  <si>
    <t>Xây dựng và nâng cấp mở rộng đường tỉnh 923</t>
  </si>
  <si>
    <t>PĐ; ÔM</t>
  </si>
  <si>
    <t>2021-2024</t>
  </si>
  <si>
    <t>40/QĐ-UBND ngày 08/01/2021</t>
  </si>
  <si>
    <t>Trục đường hẻm 91 (đoạn Long Tuyền- đường 91C)</t>
  </si>
  <si>
    <t>QĐ sô 2138/QĐ-UBND ngày 05/10/2020</t>
  </si>
  <si>
    <t>Cầu Cờ Đỏ trên đường tỉnh 919 huyện Cờ Đỏ TPCT</t>
  </si>
  <si>
    <t>QĐ sô 2137/QĐ-UBND ngày 05/10/2020</t>
  </si>
  <si>
    <t xml:space="preserve">Lắp đặt hệ thống chiếu sáng trên tuyến QL 91B, đoạn từ cầu Bà Bộ đến giao lộ 91 thuộc địa bàn quận BT, ÔM TPCT (km02+592 - km15+793) </t>
  </si>
  <si>
    <t>BT; ÔM</t>
  </si>
  <si>
    <t>QĐ sô 2005/QĐ-UBND ngày 22/9/2020</t>
  </si>
  <si>
    <t>Đường vành đai phía Tây thành phố Cần Thơ (nối QL91 đến QL 61C)</t>
  </si>
  <si>
    <t>ÔM; BT; NK; PĐ; CR</t>
  </si>
  <si>
    <t>2021-2025</t>
  </si>
  <si>
    <t>QĐ sô 41/QĐ-UBND ngày 08/1/2021</t>
  </si>
  <si>
    <t xml:space="preserve">Cầu Tây Đô </t>
  </si>
  <si>
    <t>QĐ sô 2143/QĐ-UBND ngày 06/10/2020</t>
  </si>
  <si>
    <t>Nâng cấp, mở rộng Quốc lộ 91 (đoạn từ Km0-Km7), thành phố Cần Thơ</t>
  </si>
  <si>
    <t>Ninh Kiều - Bình Thủy</t>
  </si>
  <si>
    <t>2023-2024</t>
  </si>
  <si>
    <t>1923/UBND-XDĐT ngày 02/6/2023 699/QĐ-SGTVT ngày 07/6/2023</t>
  </si>
  <si>
    <t>Xây dựng cầu vượt tại Nút giao số 1 (Mậu Thân - 3 Tháng 2 - Trần Hưng Đạo) và nút giao số 4 (Nguyễn Văn Linh – Ba Tháng Hai)</t>
  </si>
  <si>
    <t xml:space="preserve">1323/UBND-XDĐT ngày 25/03/2025 </t>
  </si>
  <si>
    <t>Dự án Nâng cấp, cải tạo 05 nút giao thông trọng điểm  trên địa bàn thành phố</t>
  </si>
  <si>
    <t>1234/QĐ-UBND ngày 09/6/2021 
753/QĐ-SGTVT ngày 11/6/2021
655/UBND-XDĐT ngày 23/02/2022
1965/QĐ-UBND ngày 25/3/2022</t>
  </si>
  <si>
    <t>Đường nối từ đường dẫn vào cầu Vàm Cống vào Khu công nghiệp Vĩnh Thạnh</t>
  </si>
  <si>
    <t>6229/UBND-XDĐT ngày 06/12/2021
8649/QĐ-UBND ngày 31/12/2021</t>
  </si>
  <si>
    <t>Đường nối từ Quốc lộ 80 vào Khu công nghiệp Vĩnh Thạnh</t>
  </si>
  <si>
    <t>6229/UBND-XDĐT ngày 06/12/2021
8648/QĐ-UBND ngày 31/12/2021</t>
  </si>
  <si>
    <t>Xây dựng cầu Rạch Nhum và cầu Rạch Tra thuộc Đường tỉnh 922</t>
  </si>
  <si>
    <t>Ô Môn - Thới Lai</t>
  </si>
  <si>
    <t>2786/QĐ-UBND ngày 06/9/2016</t>
  </si>
  <si>
    <t>Đường Nguyễn Văn Cừ nối dài (đoạn từ Mỹ Khánh - Phong Điền)</t>
  </si>
  <si>
    <t>2010-2019</t>
  </si>
  <si>
    <t>3245/QĐ-UBND ngày 30/10/2009 và
2698/QĐ-UBND ngày 23/08/2016</t>
  </si>
  <si>
    <t>Cảng Cái Cui</t>
  </si>
  <si>
    <t>2006-2011</t>
  </si>
  <si>
    <t>1943/QĐ-CT.UB ngày 29/6/2004; 305/QĐ-UBND ngày 09/02/2011</t>
  </si>
  <si>
    <t>Xây dựng và nâng cấp Đường tỉnh 922 giai đoạn I, TP.Cần Thơ (tuyến nhánh Quốc lộ 91 nối quận Ô Môn, TP.Cần Thơ với huyện Giồng Riềng, tỉnh Kiên Giang)</t>
  </si>
  <si>
    <t>Ô Môn,-Thới Lai,-Cờ Đỏ</t>
  </si>
  <si>
    <t>2010-2014</t>
  </si>
  <si>
    <t>2769/QĐ-UBND ngày 07/10/2010</t>
  </si>
  <si>
    <t>Đường Mậu Thân- sân bay Trà Nóc</t>
  </si>
  <si>
    <t>2006-2014</t>
  </si>
  <si>
    <t>3098/QĐ-UBND ngày 02/12/2008</t>
  </si>
  <si>
    <t>Các cầu trên đường tỉnh 923 đoạn Cái Răng-Phong Điền</t>
  </si>
  <si>
    <t>Cái Răng - Phong Điền</t>
  </si>
  <si>
    <t>2002-2009</t>
  </si>
  <si>
    <t>3532/CT.UB ngày 19/11/2001</t>
  </si>
  <si>
    <t>Mở rộng đường Quang Trung-Cái Cui</t>
  </si>
  <si>
    <t>2009-2019</t>
  </si>
  <si>
    <t>1782/QĐ-UBND ngày 19/6/2015</t>
  </si>
  <si>
    <t>Đường nối thị xã Vị Thanh, tỉnh Hậu Giang với thành phố Cần Thơ</t>
  </si>
  <si>
    <t>Cái Răng  - Phong Điền</t>
  </si>
  <si>
    <t>2007-2012</t>
  </si>
  <si>
    <t>2702/QĐ-UBND ngày 08/10/2008;
2837/QĐ-UBND ngày 01/10/2015</t>
  </si>
  <si>
    <t>Đường tỉnh 932 đoạn Vàm Xáng-kênh Xáng Mới</t>
  </si>
  <si>
    <t>2005-2009</t>
  </si>
  <si>
    <t>2407/QĐ-UBND ngày 28/7/2016</t>
  </si>
  <si>
    <t>Đường Vành đai sân bay Cần Thơ kết nối đường Võ Văn Kiệt đến đường Lê Hồng Phong đoạn từ Km 1+675 đến Km 2+163,12</t>
  </si>
  <si>
    <t>Bình thủy</t>
  </si>
  <si>
    <t>2015-2017</t>
  </si>
  <si>
    <t>3215/QĐ-UBND 
ngày 31/10/2014;
3939/QĐ-UBND
ngày 30/12/2015</t>
  </si>
  <si>
    <t>Đường vào Bộ Chỉ huy Quân sự thành phố Cần Thơ</t>
  </si>
  <si>
    <t>1396/QĐ-UBND ngày 30/6/2021 (QT)</t>
  </si>
  <si>
    <t>Chi trả các cho phí còn lại sau quyết toán</t>
  </si>
  <si>
    <t xml:space="preserve">Nâng cấp, mở rộng đường Huỳnh Phan Hộ </t>
  </si>
  <si>
    <t>2018-2021</t>
  </si>
  <si>
    <t>2643/QĐ-UBND ngày 12/10/2017</t>
  </si>
  <si>
    <t xml:space="preserve">Chi trả kinh phí bồi thường theo Bản án số 31/2021/HC-ST của Tòa án nhân dân thành phố Cần Thơ </t>
  </si>
  <si>
    <t xml:space="preserve">Đường ôtô vào trung tâm xã Thạnh Lợi </t>
  </si>
  <si>
    <t>2010-2017</t>
  </si>
  <si>
    <t>761/QĐ-UBND ngày 05/02/2015</t>
  </si>
  <si>
    <t>Đường tỉnh 934 (tuyến Rạch Chôm - Thới An - QL 91)</t>
  </si>
  <si>
    <t>2004-2015</t>
  </si>
  <si>
    <t>2959/QĐ-UBND ngày 13/11/2018 (QT)</t>
  </si>
  <si>
    <t>Đường tỉnh 932 (Vàm Xáng - 1000) (đoạn từ Vàm Xáng - Kênh Trầu Hôi)</t>
  </si>
  <si>
    <t>2407/QĐ-UBND ngày 28/07/2016 (QT)</t>
  </si>
  <si>
    <t xml:space="preserve">Dự án chuyển tiếp </t>
  </si>
  <si>
    <t>Nâng cấp, mở rộng đường Nguyễn Thông</t>
  </si>
  <si>
    <t>2018-2020</t>
  </si>
  <si>
    <t>2712/QĐ-UBND 18/10/2017
3184/QĐ-UBND 06/12/2017</t>
  </si>
  <si>
    <t>Dự án Cầu, tuyến đường vào cầu từ Khu tái định cư Trường Đại học Y Dược Cần Thơ đến Khu đô thị tái định cư Cửu Long</t>
  </si>
  <si>
    <t>2016-2021</t>
  </si>
  <si>
    <t>880/QĐ-UBND 31/3/2016 896/QĐ-UBND 7/4/2017 1219/QĐ-UBND 15/5/2017; 2389/QĐ-UBND 27/10/2020</t>
  </si>
  <si>
    <t>Đường vào dự án Trung tâm Sức khỏe sinh sản (đường số 5) thuộc Khu đô thị hai bên đường Nguyễn Văn Cừ (đoạn từ đường Cái Sơn - Hàng Bàng đến đường Tỉnh 923)</t>
  </si>
  <si>
    <t>Ninh kiều</t>
  </si>
  <si>
    <t>2864/QĐ-UBND ngày 30/10/2017;
2196/QĐ-UBND ngày 13/9/2019;
2636/QĐ-UBND ngày 23/11/2020</t>
  </si>
  <si>
    <t>Đường Vành đai sân bay Cần Thơ kết nối đường Lê Hồng Phong đến Quốc lộ 91B, giai đoạn 1: Đoạn từ nút giao thông đường Võ Văn kiệt đến Km1+675</t>
  </si>
  <si>
    <t>2863/QĐ-UBND 30/10/2017 
3183/QĐ-UBND 06/12/2017 3029/QĐ-UBND  01/11/2021</t>
  </si>
  <si>
    <t>Đường Thắng Lợi 1 (Bờ trái - đoạn từ Ủy ban nhân dân xã Thạnh Lộc đến Sáu Bọng</t>
  </si>
  <si>
    <t>2019-2021</t>
  </si>
  <si>
    <t>2858/QĐ-UBND 30/10/2017</t>
  </si>
  <si>
    <t>Đường tỉnh 922 (Xây dựng và nâng cấp giai đoạn 1 từ QL91B đến Cờ Đỏ)</t>
  </si>
  <si>
    <t>Bình Thủy -
Ô Môn -
Thới Lai - Cờ Đỏ</t>
  </si>
  <si>
    <t>2019-2022</t>
  </si>
  <si>
    <t xml:space="preserve">1591/QĐ-UBND ngày 19/6/2017 và 1543/QĐ-UBND ngày 25/6/2019;1087/QĐ-UBND ngày 21/5/2021; 612/QĐ-UBND ngày 10/2/2022 </t>
  </si>
  <si>
    <t>Đường tỉnh 918, thành phố Cần Thơ (Xây dựng và nâng cấp giai đoạn 1 từ cầu Lộ Bức đến cuối đường Tỉnh 923)</t>
  </si>
  <si>
    <t>2020-2023</t>
  </si>
  <si>
    <t>2184/QĐ-UBND ngày 09/10/2020; 2735/QĐ-UBND ngày 12/8/2020</t>
  </si>
  <si>
    <t>QĐ số 2735/QĐ-UBND ngày 12/8/2020 tăng TMĐT 116,006 triệu đồng, nguồn vốn NSĐP và NSTW</t>
  </si>
  <si>
    <t>Cầu Vàm Xáng và đường nối từ cầu Vàm Xáng đến Quốc lộ 61C, huyện Phong Điền, thành phố Cần Thơ</t>
  </si>
  <si>
    <t>1205/QĐ-UBND ngày 21/5/2019</t>
  </si>
  <si>
    <t>Nâng cấp, mở rộng Tuyến đường lộ hậu Tân Thạnh Tây, phường Ba Láng, quận Cái Răng, thành phố Cần Thơ</t>
  </si>
  <si>
    <t>2524/QĐ-UBND ngày 21/10/2019</t>
  </si>
  <si>
    <t>Tuyến đường lộ hậu Kênh Thạnh Đông nối Mù U - Bến Bạ</t>
  </si>
  <si>
    <t>2861/QĐ-UBND 30/10/2017
732/QĐ-UBND ngày 21/03/2025</t>
  </si>
  <si>
    <t>Đường Nam kênh Đòn Dông (đoạn từ kênh F - kênh H)</t>
  </si>
  <si>
    <t>2857/QĐ-UBND 30/10/2017</t>
  </si>
  <si>
    <t>Đường giao thông nông thôn Vàm Xáng – Ba Láng, xã Nhơn Nghĩa, huyện Phong Điền, thành phố Cần Thơ</t>
  </si>
  <si>
    <t>2523/QĐ-UBND ngày 21/10/2019, 1667/QĐ-UBND ngày 03/6/2022</t>
  </si>
  <si>
    <t>Đường trục C2 (Phạm Ngọc Thạch Nối dài)</t>
  </si>
  <si>
    <t>2594/QĐ-UBND ngày 29/10/19</t>
  </si>
  <si>
    <t>Đường tỉnh 920 (đoạn qua Nhà máy Nhiệt điện Ô Môn)</t>
  </si>
  <si>
    <t xml:space="preserve">2533/QĐ-UBND ngày 11/11/2020; 3953/QĐ-UBND ngày 23/11/2022 </t>
  </si>
  <si>
    <t>QĐ số 3953/QĐ-UBND ngày 23/11/2022 (ĐC TMĐT tăng 2,264 tỷ đồng)</t>
  </si>
  <si>
    <t>Cầu Kênh Ngang (trên đường tỉnh 922)</t>
  </si>
  <si>
    <t>1351/QĐ-UBND ngày 28/6/2021</t>
  </si>
  <si>
    <t>3611/QĐ-UBND ngày 01/12/2021
2844/QĐ-UBND ngày 12/12/2024</t>
  </si>
  <si>
    <t>1639/QĐ-UBND ngày 05/8/2021
2875/QĐ-UBND ngày 13/12/2024</t>
  </si>
  <si>
    <t>3664/QĐ-UBND ngày 03/12/2021
2874/QĐ-UBND ngày 13/12/2024</t>
  </si>
  <si>
    <t>Đường vành đai phía Tây thành phố Cần Thơ (nối Quốc lộ 91 với Quốc lộ 61C)</t>
  </si>
  <si>
    <t>Ô Môn - Bình Thủy - Phong Điền - Ninh Kiều - Cái Răng</t>
  </si>
  <si>
    <t>3543/QĐ-UBND ngày 26//11/2021
1422/QĐ-UBND ngày 14/6/2023</t>
  </si>
  <si>
    <t>Xây dựng và nâng cấp mở rộng Đường tỉnh 923</t>
  </si>
  <si>
    <t>Ô Môn - Phong Điền</t>
  </si>
  <si>
    <t>1466/QĐ-UBND ngày 09/7/2021
2728/QĐ-UBND ngày 02/12/2024</t>
  </si>
  <si>
    <t>Đường bộ cao tốc Châu Đốc - Cần Thơ - Sóc Trăng giai đoạn 1 - Dự án thành phần 2 (đoạn đi qua TPCT)</t>
  </si>
  <si>
    <t>TPCT</t>
  </si>
  <si>
    <t>290/QĐ-UBND ngày 09/02/2023</t>
  </si>
  <si>
    <t>382/QĐ-UBND ngày 09/02/2023</t>
  </si>
  <si>
    <t>4070-QĐ-UBND ngày 18/11/2022</t>
  </si>
  <si>
    <t>Cầu Tây Đô, huyện Phong Điền, thành phố Cần Thơ</t>
  </si>
  <si>
    <t>1125/QĐ-UBND ngày 26/5/2021</t>
  </si>
  <si>
    <t>Cầu Cờ Đỏ trên đường tỉnh 919</t>
  </si>
  <si>
    <t>1150/QĐ-UBND ngày 27/5/2021</t>
  </si>
  <si>
    <t>2022-2024</t>
  </si>
  <si>
    <t>1215/QĐ-UBND ngày 05/04/2022</t>
  </si>
  <si>
    <t>03/QĐ-SKHĐT ngày 17/01/2022</t>
  </si>
  <si>
    <t>Đầu tư hệ thống quản lý giao thông thông minh (ITS) thành phố Cần Thơ giai đoạn 1 (Triển khai các hạng mục như Tủ tín hiệu, đèn tín hiệu, Camera quan sát (CCTV), Hệ thống dò xe (VDS) và Trung tâm điều khiển)</t>
  </si>
  <si>
    <t>1336/QĐ-UBND ngày 06/06/2023</t>
  </si>
  <si>
    <t>Lắp đặt hệ thống chiếu sáng trên tuyến Quốc lộ 91B, đoạn từ cầu Bà Bộ đến giao Quốc lộ 91 thuộc địa bàn quận Bình Thủy, quận Ô Môn, thành phố Cần Thơ (Km02+592 - Km 15+793)</t>
  </si>
  <si>
    <t>676/QĐ-UBND ngày 14/02/2022</t>
  </si>
  <si>
    <t>Trục đường Hẻm 91 (đoạn Long Tuyền - đường Vành đai phía Tây thành phố Cần Thơ)</t>
  </si>
  <si>
    <t>63/NQ-HĐND ngày 08/12/2021</t>
  </si>
  <si>
    <t>2791/QĐ-UBND ngày 23/11/2023</t>
  </si>
  <si>
    <t>Cải tạo, đầu tư mới hệ thống tín hiệu giao thông tại các nút giao mất An toàn giao thông, hệ thống đèn chiếu sáng tại các đoạn, tuyến quốc lộ và tỉnh lộ</t>
  </si>
  <si>
    <t>83/QĐ-SXD ngày 13/01/2022</t>
  </si>
  <si>
    <t>Nâng cấp tuyến đường Trần Ngọc Hoằng</t>
  </si>
  <si>
    <t>3301/QĐ-UBND ngày 7/6/2022; 3794/QĐ-UBND ngày 11/7/2022; 3999/QĐ-UBND ngày 20/7/2022</t>
  </si>
  <si>
    <t>BT,NK</t>
  </si>
  <si>
    <t>2023-2027</t>
  </si>
  <si>
    <t>1644/QĐ-UBND ngày 23/7/2024</t>
  </si>
  <si>
    <t>(3)</t>
  </si>
  <si>
    <t>Y tế, dân số và gia đình</t>
  </si>
  <si>
    <t>Dự án Trung tâm Kiểm soát bệnh tật thành phố Cần Thơ (CDC)</t>
  </si>
  <si>
    <t>2551/QĐ-UBND ngày 12/11/2020</t>
  </si>
  <si>
    <t>Xây dựng Khoa nhiễm – Bệnh viện Nhi đồng TP.Cần Thơ</t>
  </si>
  <si>
    <t>2540/QĐ-UBND ngày 11/11/2020</t>
  </si>
  <si>
    <t>Nâng cấp, sửa chữa Bệnh viện Da liễu Cần Thơ (80 giường)</t>
  </si>
  <si>
    <t>2546/QĐ-UBND ngày 12/11/2020</t>
  </si>
  <si>
    <t>Dự án Hệ thống chụp cộng hưởng từ 1,5 Tesla và máy giúp thở trẻ sơ sinh, trẻ em có chế độ HFO</t>
  </si>
  <si>
    <t>2541/QĐ-UBND ngày 11/11/2020</t>
  </si>
  <si>
    <t>Xây dựng khoa Khám bệnh - Thăm dò chức năng - Xét nghiệm và khoa Nội Tim mạch - Chẩn đoán hình ảnh và mua sắm Hệ thống chụp cắt lớp CT Scanner 128 lát cắt - Bệnh viện Tim mạch TPCT</t>
  </si>
  <si>
    <t>2528/QĐ-UBND ngày 11/11/2020</t>
  </si>
  <si>
    <t>Mua sắm trang thiết bị Trung tâm Kiểm nghiệm, Thuốc, Mỹ phẩm, thực phẩm thành phố Cần Thơ</t>
  </si>
  <si>
    <t>2550/QĐ-UBND ngày 12/11/2020</t>
  </si>
  <si>
    <t>Dự án Nâng cấp, mở rộng Bệnh viện Huyết học truyền máu Cần Thơ (100 giường)</t>
  </si>
  <si>
    <t>2539/QĐ-UBND ngày 11/11/2020</t>
  </si>
  <si>
    <t>Dự án Nâng cấp Bệnh viện Phụ sản thành phố Cần Thơ (quy mô 500 giường)</t>
  </si>
  <si>
    <t>2537/QĐ-UBND ngày 11/11/2020</t>
  </si>
  <si>
    <t>Nâng cấp, cải tạo và mua sắm trang thiết bị cho Trung tâm Kiểm soát bệnh tật (CDC) thành phố Cần Thơ</t>
  </si>
  <si>
    <t>3448/UBND-XDĐT ngày 30/8/2022; 4095/QĐ-SYT ngày 29/11/2022</t>
  </si>
  <si>
    <t>Nâng cấp, cải tạo và mua sắm trang thiết bị cho 09 Trung tâm Y tế tuyến huyện thành phố Cần Thơ</t>
  </si>
  <si>
    <t>3448/UBND-XDĐT ngày 30/8/2022; 4094/QĐ-SYT ngày 29/11/2022</t>
  </si>
  <si>
    <t>Máy gia tốc tuyến tính (LINACS) tại Bệnh viện Ung bướu thành phố Cần Thơ</t>
  </si>
  <si>
    <t>3935/UBND ngày 13/9/2024;
2183/QĐ-UBND ngày 04/10/2024</t>
  </si>
  <si>
    <t>Bệnh viện Quân dân y giai đoạn 2</t>
  </si>
  <si>
    <t>2571/QĐ-UBND ngày 17/11/2020</t>
  </si>
  <si>
    <t>Trung tâm sàng lọc chẩn đoán trước sinh và sơ sinh Cần Thơ</t>
  </si>
  <si>
    <t>2016 - 2018</t>
  </si>
  <si>
    <t>887/QĐ-UBND ngày 31/3/2016</t>
  </si>
  <si>
    <t>2</t>
  </si>
  <si>
    <t>Mua sắm trang thiết bị Bệnh viện Lao và Bệnh phổi thành phố Cần Thơ</t>
  </si>
  <si>
    <t>2016-2020</t>
  </si>
  <si>
    <t xml:space="preserve"> 890/QĐ-UBND ngày 31/3/2016</t>
  </si>
  <si>
    <t>Mua sắm trang thiết bị Bệnh viện Nhi đồng thành phố Cần Thơ</t>
  </si>
  <si>
    <t>889/QĐ-UBND ngày 31/3/2016</t>
  </si>
  <si>
    <t>4</t>
  </si>
  <si>
    <t>Mua sắm trang thiết bị Bệnh viện Tai Mũi Họng thành phố Cần Thơ</t>
  </si>
  <si>
    <t>2019 - 2020</t>
  </si>
  <si>
    <t>155/QĐ-SKHĐT ngày 12/9/2019</t>
  </si>
  <si>
    <t>5</t>
  </si>
  <si>
    <t>Nâng cấp, sữa chữa Bệnh viện Tai Mũi Họng thành phố Cần Thơ</t>
  </si>
  <si>
    <t>172/QĐ-STC ngày 09/12/2021 (QT)</t>
  </si>
  <si>
    <t>6</t>
  </si>
  <si>
    <t xml:space="preserve">Cải tạo, sửa chữa Bệnh viện Ung bướu thành phố Cần Thơ </t>
  </si>
  <si>
    <t>51/QĐ-STC ngày 28/5/2020 (QT)</t>
  </si>
  <si>
    <t>7</t>
  </si>
  <si>
    <t>Nâng cấp, sửa chữa Bệnh viện Huyết học Truyền máu thành phố Cần Thơ</t>
  </si>
  <si>
    <t>127/QĐ-STC ngày 23/9/2020 (QT)</t>
  </si>
  <si>
    <t>8</t>
  </si>
  <si>
    <t>Nâng cấp, sửa chữa Trung tâm Truyền thông Giáo dục Sức khỏe thành phố Cần Thơ</t>
  </si>
  <si>
    <t>139/QĐ-STC ngày 4/10/2021 (QT)</t>
  </si>
  <si>
    <t>9</t>
  </si>
  <si>
    <t>Bệnh viện dã chiến truyền nhiễm số 6B</t>
  </si>
  <si>
    <t>1914/QĐ-UBND ngày 30/8/2021</t>
  </si>
  <si>
    <t>Quyết định 1914/QĐ-UBND là QĐ ban hành lệnh khẩn cấp</t>
  </si>
  <si>
    <t>10</t>
  </si>
  <si>
    <t>Trung tâm sức khỏe sinh sản Cần Thơ</t>
  </si>
  <si>
    <t>2017-2019</t>
  </si>
  <si>
    <t>3352/QĐ-UBND ngày 31/10/2016</t>
  </si>
  <si>
    <t>11</t>
  </si>
  <si>
    <t>Xây dựng Trung tâm kiểm nghiệm Thuốc, Mỹ phẩm, Thực phẩm</t>
  </si>
  <si>
    <t>2011-2017</t>
  </si>
  <si>
    <t>1544/QĐ-UBND 10/6/2010</t>
  </si>
  <si>
    <t>12</t>
  </si>
  <si>
    <t>Nâng cấp, sửa chữa Bệnh viện Huyết học truyền máu thành phố Cần Thơ</t>
  </si>
  <si>
    <t>2017-2018</t>
  </si>
  <si>
    <t>193/QĐ-SKHĐT 31/10/2016</t>
  </si>
  <si>
    <t>13</t>
  </si>
  <si>
    <t>Quản lý chát thải lỏng y tế Bệnh viện Phụ sản Cần Thơ thuộc Dự án Hỗ trợ quản lý chất thải bệnh viện</t>
  </si>
  <si>
    <t>2016-2017</t>
  </si>
  <si>
    <t>2514/QĐ-UBND 31/8/2015</t>
  </si>
  <si>
    <t>Bệnh viện Đa khoa thành phố Cần Thơ</t>
  </si>
  <si>
    <t>2006-2016</t>
  </si>
  <si>
    <t>867/QĐ-UBND ngày 10/4/2007</t>
  </si>
  <si>
    <t>Cải tạo, sửa chữa Bệnh viện Nhi thành bệnh viện Tim mạch và mua sách TTB</t>
  </si>
  <si>
    <t>2015-2016</t>
  </si>
  <si>
    <t>2495/QĐ-UBND ngày 04/8/2016</t>
  </si>
  <si>
    <t>Nâng cấp, sửa chữa Chi cục An toàn vệ sinh thực phẩm thành phố Cần Thơ</t>
  </si>
  <si>
    <t>81/QĐ-SXD ngày 28/3/2016</t>
  </si>
  <si>
    <t>Nâng cấp, sửa chữa Trung tâm chuẩn đoán y khoa thành khu khám và điều trị ung bướu - Bệnh viện Ung Bướu thành phố Cần Thơ</t>
  </si>
  <si>
    <t>175/QĐ-SKHĐT ngày 17/10/2016</t>
  </si>
  <si>
    <t>Xây dựng Khoa hồi sức tích cực tại Bệnh viện Tim mạch thành phố Cần Thơ</t>
  </si>
  <si>
    <t>1638/QĐ-UBND 8/7/2019</t>
  </si>
  <si>
    <t>Bệnh viện Ung bướu thành phố Cần Thơ, quy mô 500 giường</t>
  </si>
  <si>
    <t>2015-2026</t>
  </si>
  <si>
    <t xml:space="preserve">223/QĐ-UBND 25/01/2017; 2497/QĐ-UBND 08/8/2022 </t>
  </si>
  <si>
    <t>QĐ số 2497/QĐ-UBND 08/8/2022 (QĐ điều chỉnh thời gian thực hiện)</t>
  </si>
  <si>
    <t>Bệnh viện Y học cổ truyền thành phố Cần Thơ (quy mô 200 giường)</t>
  </si>
  <si>
    <t>3046/QĐ-UBND ngày 05/10/2016</t>
  </si>
  <si>
    <t>Nâng cấp cơ sở vật chất Bệnh viện Đa khoa quận Ô Môn</t>
  </si>
  <si>
    <t>3346/QĐ-UBND ngày 31/10/2016</t>
  </si>
  <si>
    <t>Trung tâm y tế huyện Cờ Đỏ</t>
  </si>
  <si>
    <t>2830/QĐ-UBND ngày 27/10/2017</t>
  </si>
  <si>
    <t>Nâng cấp, sữa chữa Bệnh viện Tâm Thần (cơ sỡ cũ) thành cơ sở 2 Bệnh viện Mắt – Răng Hàm Mặt thành phố Cần Thơ</t>
  </si>
  <si>
    <t>163/QĐ-SXD ngày 28/8/2020</t>
  </si>
  <si>
    <t>Bệnh viện Quân dân y (Giai đoạn 2)</t>
  </si>
  <si>
    <t>4276/QĐ-UBND ngày 31/12/2021</t>
  </si>
  <si>
    <t>Bệnh viện dã chiến số 1</t>
  </si>
  <si>
    <t>1808/QĐ-UBND ngày 15/8/2021</t>
  </si>
  <si>
    <t>Quyết định 1808/QĐ-UBND là QĐ ban hành lệnh khẩn cấp</t>
  </si>
  <si>
    <t>Bệnh viện dã chiến số 2</t>
  </si>
  <si>
    <t>1809/QĐ-UBND ngày 15/8/2021</t>
  </si>
  <si>
    <t>Quyết định 1809/QĐ-UBND là QĐ ban hành lệnh khẩn cấp</t>
  </si>
  <si>
    <t>Bệnh viện dã chiến số 4</t>
  </si>
  <si>
    <t>1851/QĐ-UBND ngày 20/8/2021</t>
  </si>
  <si>
    <t>Quyết định 1851/QĐ-UBND là QĐ ban hành lệnh khẩn cấp</t>
  </si>
  <si>
    <t>Bệnh viện dã chiến số 5</t>
  </si>
  <si>
    <t>1852/QĐ-UBND ngày 20/8/2021</t>
  </si>
  <si>
    <t>Quyết định 1852/QĐ-UBND là QĐ ban hành lệnh khẩn cấp</t>
  </si>
  <si>
    <t>Bệnh viện dã chiến số 6</t>
  </si>
  <si>
    <t>1853/QĐ-UBND ngày 20/8/2021</t>
  </si>
  <si>
    <t>Quyết định 1853/QĐ-UBND là QĐ ban hành lệnh khẩn cấp</t>
  </si>
  <si>
    <t xml:space="preserve">1579/QĐ-UBND ngày 12/7/2024 </t>
  </si>
  <si>
    <t>1578/QĐ-UBND ngày 12/7/2024</t>
  </si>
  <si>
    <t>2025-2026</t>
  </si>
  <si>
    <t>692/QĐ-UBND ngày 19/3/2025</t>
  </si>
  <si>
    <t>(4)</t>
  </si>
  <si>
    <t>Nông nghiệp, Thủy lợi, Thủy sản</t>
  </si>
  <si>
    <t>Hệ thống Thủy lợi tạo nguồn Bắc Cái Sắn (Cần Thơ - An Giang)</t>
  </si>
  <si>
    <t>2413/QĐ-UBND ngày 28/10/2020</t>
  </si>
  <si>
    <t>Kè chống sạt lở khẩn cấp tại vị trí có nguy cơ sạt lở đặc biệt nguy hiểm trên sông Trà Nóc, phường Trà An (từ cầu Trà Nóc đến cầu Xẻo Mây), quận Bình Thủy, thành phố Cần Thơ</t>
  </si>
  <si>
    <t>2414/QĐ-UBND ngày 28/10/2020</t>
  </si>
  <si>
    <t>Kè chống sạt lở sông Ô Môn (đoạn từ vàm Ba Rích đến Rạch Cam My), khu vực Thới Hòa, phường Thới An, quận Ô Môn, thành phố Cần Thơ (Tên trước đây Kè chống sạt lở sông Ô Môn (đoạn từ vàm Ba Rích đến rạch Tầm Vu), phường Thới Hòa, Thới An quận Ô Môn (phía bờ trái sông Ô Môn, hướng từ cầu Ô Môn trở ra sông Hậu)</t>
  </si>
  <si>
    <t>2415/QĐ-UBND ngày 28/10/2020</t>
  </si>
  <si>
    <t>Kè chống sạt lở khẩn cấp trên sông Trà Nóc, phường Trà An (đoạn từ cầu Xẻo Mây đến cầu Rạch Chùa), quận Bình Thủy, thành phố Cần Thơ</t>
  </si>
  <si>
    <t>1636/UBND-XDĐT ngày 13/05/2022
03/QĐ-CCTL.KTN2 ngay 02/05/2022</t>
  </si>
  <si>
    <t>Cải tạo sửa chữa trụ sở Chi cục Thủy lợi</t>
  </si>
  <si>
    <t>2663/QĐ-UBND ngày 24/11/2020</t>
  </si>
  <si>
    <t xml:space="preserve">Kè sông Cần Thơ (đoạn bến Ninh Kiều - cầu Cái Sơn thuộc quận Ninh Kiều và đoạn cầu Quang Trung - cầu Cái Răng thuộc quận Cái Răng) </t>
  </si>
  <si>
    <t>Ninh Kiều-Cái Răng</t>
  </si>
  <si>
    <t>2008-2020</t>
  </si>
  <si>
    <t>2605/QĐ-UBND ngày 15/11/2007
3166/QĐ-UBND ngày 09/10/2013</t>
  </si>
  <si>
    <t>Trung tâm giống thủy sản cấp 1</t>
  </si>
  <si>
    <t>2008-2019</t>
  </si>
  <si>
    <t>368/QĐ-UBND 17/02/2011</t>
  </si>
  <si>
    <t>Đê bao bảo vệ vuờn cây ăn trái thành phố Cần Thơ</t>
  </si>
  <si>
    <t>2013-2019</t>
  </si>
  <si>
    <t>1920/QĐ-UBND 6/7/2015 (đ/c)</t>
  </si>
  <si>
    <t>Kè chống sạt lỡ sông Ô Môn</t>
  </si>
  <si>
    <t>2009-2020</t>
  </si>
  <si>
    <t>1643/QĐ-UBND 22/6/2010</t>
  </si>
  <si>
    <t>Xây dựng các hệ thống cấp nước sạch nông thôn trên địa bàn để phòng chống, khắc phục hạn hán, xâm nhập mặn và ứng phó biến đổi khí hậu</t>
  </si>
  <si>
    <t>Cờ đỏ - Thới Lai - Phong Điền - Vĩnh Thạnh</t>
  </si>
  <si>
    <t>2549/QĐ-UBND 26/9/2017</t>
  </si>
  <si>
    <t>Hệ thống cấp nước tập trung xã
Định Môn, huyện Thới Lai</t>
  </si>
  <si>
    <t>255/QĐ-SXD 25/10/2019</t>
  </si>
  <si>
    <t>Hệ thống cấp nước tập trung xã
Trường Xuân A, huyện Thới Lai</t>
  </si>
  <si>
    <t>257/QĐ-SXD 25/10/2019</t>
  </si>
  <si>
    <t>Hệ thống cấp nước tập trung xã
Nhơn Nghĩa, huyện Phong Điền</t>
  </si>
  <si>
    <t>256/QĐ-SXD 25/10/2019</t>
  </si>
  <si>
    <t>Mô hình thí điểm trồng lúa kỹ thuật hiện đại và cây ăn quả xã Trường Long, huyện Phong Điền, thành phố Cần Thơ</t>
  </si>
  <si>
    <t>2014-2017</t>
  </si>
  <si>
    <t>2912/QĐ-UBND ngày 06/11/2017</t>
  </si>
  <si>
    <t>Kè chống sạt lở sông Ô Môn - Khu vực Thới An, quận Ô Môn (phía bờ phải)</t>
  </si>
  <si>
    <t>2018-2019</t>
  </si>
  <si>
    <t>1926/QĐ-UBND ngày 30/7/2018</t>
  </si>
  <si>
    <t>Kè chống sạt lở bờ kênh Thốt Nốt (đoạn từ nhà văn hóa cũ đến rạch Trà Cui)</t>
  </si>
  <si>
    <t>2845/QĐ-UBND ngày 30/40/2017</t>
  </si>
  <si>
    <t>Tiểu dự án Mô hình thí điểm trồng lúa kỹ thuật hiện đại và cây ăn quả, xã Trường Long huyện Phong Điền, thành phố Cần Thơ thuộc dự ản quản lý thuy lợi phục vụ phát triển nông thôn vùng đồng bằng sông Cửu Long (WB6),</t>
  </si>
  <si>
    <t>2929/QĐ-UBND ngày 27/10/2021(Quyết toán dự án)</t>
  </si>
  <si>
    <t>Kè bờ sông Cần Thơ - Ứng phó biến đổi khí hậu thành phố Cần Thơ (vốn AFD)</t>
  </si>
  <si>
    <t>Ninh Kiều -
Cái Răng -
Phong Điền</t>
  </si>
  <si>
    <t>2016-2023</t>
  </si>
  <si>
    <t>1027/QĐ-UBND ngày 13/4/2016
3500/QĐ-UBND ngày 24/11/2021</t>
  </si>
  <si>
    <t>Dự án Chuyển đổi nông nghiệp bền vững thành phố Cần Thơ (Vnsat)</t>
  </si>
  <si>
    <t>Phong Điền, Thới Lai, Cờ Đỏ, Vĩnh Thạnh</t>
  </si>
  <si>
    <t>2016-2022</t>
  </si>
  <si>
    <t>599/QĐ-UBND ngày 8/3/2018
1245/QĐ-UBND ngày 10/6/2021</t>
  </si>
  <si>
    <t>Kè chống sạt lở, chống xâm nhập mặn, ứng phó biến đổi khí hậu khu vực rạch Cái Sơn</t>
  </si>
  <si>
    <t>2017-2022</t>
  </si>
  <si>
    <t xml:space="preserve">Quyết định số 1315/QĐ-UBND ngày 24/5/2018 </t>
  </si>
  <si>
    <t>Kè chống sạt lở sông Trà Nóc khu vực Thới Thuận, phường Thới An Đông, quận Bình Thủy</t>
  </si>
  <si>
    <t>321/QĐ-SNN&amp;PTNT 27/12/2019</t>
  </si>
  <si>
    <t xml:space="preserve">Kè chống sạt lở khu vực chợ Mỹ Khánh, huyện Phong Điền, thành phố Cần Thơ </t>
  </si>
  <si>
    <t>2051/QĐ-UBND ngày 28/9/2020</t>
  </si>
  <si>
    <t>Kè chống sạt lở sông Ô Môn (đoạn từ cầu Ô Môn đến vàm Ba Rích), phường Thới Hòa, quận Ô Môn (phía bờ trái sông Ô Môn, hướng từ cầu Ô Môn trở ra sông Hậu)</t>
  </si>
  <si>
    <t>2050/QĐ-UBND ngày 28/9/2020</t>
  </si>
  <si>
    <t>Kè chống sạt lở sông Ô Môn – khu vực Thới An, quận Ô Môn (phía bờ phải) – (đoạn từ Rạch Vàm đến bến đò Tầm Vu</t>
  </si>
  <si>
    <t>2052/QĐ-UBND ngày 28/9/2020</t>
  </si>
  <si>
    <t>Dự án Khẩn cấp khắc phục tình trạng sạt lở sông Bến Bạ, Khu vực Thới Thuận A, Phường Tân Phú, quận Cái Răng</t>
  </si>
  <si>
    <t>223/QĐ-SNN&amp;PTNT ngày 18/9/2020</t>
  </si>
  <si>
    <t>Dự án Khẩn cấp khắc phục tình trạng sạt lở bờ sông trên tuyến kênh Giáo Dẫn, khu vực Tân Quy, phường Trường Lạc, quận Ô Môn, thành phố Cần Thơ</t>
  </si>
  <si>
    <t>263/QĐ-SNN&amp;PTNT ngày 27/10/2020</t>
  </si>
  <si>
    <t>Kè chống sạt lở sông Bình Thủy, phường An Thới (đoạn từ cầu Rạch Dứa đến Chùa Ông)</t>
  </si>
  <si>
    <t>1109/QĐ-UBND ngày 02/6/2020</t>
  </si>
  <si>
    <t>Kè chống sạt lở bờ sông tại vị trí có nguy cơ sạt lở nguy hiểm tại khu vực ngã ba sông Ô Môn và Rạch Tra, xã Thới Thạnh, huyện Thới Lai</t>
  </si>
  <si>
    <t>864/QĐ-UBND 22/4/2020</t>
  </si>
  <si>
    <t>Xây dựng và nâng cấp hệ thống cấp nước trên địa bàn huyện Vĩnh Thạnh</t>
  </si>
  <si>
    <t>Quyết định
số 3076/QĐ-UBND ngày 30/12/2020</t>
  </si>
  <si>
    <t>Xây dựng và nâng cấp hệ thống cấp nước trên địa bàn huyện Cờ Đỏ</t>
  </si>
  <si>
    <t>Quyết định
số 3077/QĐ-UBND ngày 30/12/2020</t>
  </si>
  <si>
    <t>Xây dựng và nâng cấp hệ thống cấp nước trên địa bàn huyện Thới Lai</t>
  </si>
  <si>
    <t>Quyết định
số 3078/QĐ-UBND ngày 30/12/2020</t>
  </si>
  <si>
    <t>Xây dựng và nâng cấp hệ thống cấp nước trên địa bàn huyện Phong Điền</t>
  </si>
  <si>
    <t>Quyết định
số 3075/QĐ-UBND ngày 30/12/2020</t>
  </si>
  <si>
    <t>Hệ thống thủy lợi tạo nguồn Bắc Cái Sắn (Cần Thơ - An Giang)</t>
  </si>
  <si>
    <t>2600/QĐ-UBND ngày 10/8/2022</t>
  </si>
  <si>
    <t xml:space="preserve">Kè chống sạt lở khẩn cấp sông Trà Nóc, phường Trà An (đoạn từ cầu Xẻo Mây đến cầu Rạch Chùa), quận Bình Thủy, thành phố Cần Thơ </t>
  </si>
  <si>
    <t>3978/QĐ-UBND ngày 24/11/2022</t>
  </si>
  <si>
    <t>Dự án: Kè chống sạt lở sông Ô Môn (đoạn từ vàm Ba Rích đến rạch Cam My), khu vực Thới Hòa, phường Thới An, quận Ô Môn, thành phố Cần Thơ - GIAI ĐOẠN 1: đoạn từ vàm Ba Rích đến kênh Thủy lợi 1</t>
  </si>
  <si>
    <t>2021-2022</t>
  </si>
  <si>
    <t>650/QĐ-UBND ngày 24/3/2021;
823/QĐ-UBND ngày 02/4/2025</t>
  </si>
  <si>
    <t>Dự án khẩn cấp phòng, chống và giảm nhẹ ảnh hưởng của hạn hán - Nạo vét, nâng cấp kênh thủy lợi tạo nguồn kênh Ngang</t>
  </si>
  <si>
    <t>Cờ Đỏ, Thới Lai</t>
  </si>
  <si>
    <t xml:space="preserve"> 65/QĐ-SNN&amp;PTNT ngày 24/3/2021</t>
  </si>
  <si>
    <t>Dự án khẩn cấp phòng, chống và giảm nhẹ ảnh hưởng của hạn hán - Nạo vét, nâng cấp kênh thủy lợi tạo nguồn kênh Đông Pháp</t>
  </si>
  <si>
    <t xml:space="preserve"> 66/QĐ-SNN&amp;PTNT ngày 24/3/2021</t>
  </si>
  <si>
    <t>Dự án khẩn cấp phòng, chống và giảm nhẹ ảnh hưởng của hạn hán - Nạo vét, nâng cấp kênh thủy lợi tạo nguồn kênh E1</t>
  </si>
  <si>
    <t xml:space="preserve">
Vĩnh Thạnh</t>
  </si>
  <si>
    <t>63/QĐ-SNN&amp;PTNT ngày 24/3/2021</t>
  </si>
  <si>
    <t>Dự án khẩn cấp phòng, chống và giảm nhẹ ảnh hưởng của hạn hán - Nạo vét, nâng cấp kênh thủy lợi tạo nguồn kênh G1</t>
  </si>
  <si>
    <t xml:space="preserve"> 64/QĐ-SNN&amp;PTNT ngày 24/3/2021</t>
  </si>
  <si>
    <t>Kè chống sạt lở sông Ô Môn (đoạn từ vàm Ba Rích đến rạch Tầm Vu), phường Thới Hòa, Thới An, quận Ô Môn (phía bờ trái sông Ô Môn hướng từ cầu Ô Môn trở ra sông Hậu) – Giai đoạn 2: đoạn từ kênh Thủy lợi 1 đến đối diện Rạch Ranh</t>
  </si>
  <si>
    <t>468/QĐ-UBND ngày 05/3/2024</t>
  </si>
  <si>
    <t>Kè chống sạt lở sông Cái Sắn (bờ bắc kênh Cái Sắn, đoạn từ giáp ranh tỉnh An Giang đến Kênh Đường Xuồng) xã Vĩnh Trinh, huyện Vĩnh Thạnh.</t>
  </si>
  <si>
    <t>2559/QĐ-UBND ngày 14/11/2024</t>
  </si>
  <si>
    <t>(5)</t>
  </si>
  <si>
    <t>Giáo dục, đào tạo và giáo dục nghề nghiệp</t>
  </si>
  <si>
    <t>Trường Đại học Kỹ thuật - Công nghệ Cần Thơ - Cơ sở 2</t>
  </si>
  <si>
    <t>325/UBND-XDĐT ngày 25/01/2022
92/QĐ-BQLDA ngày 12/6/2023</t>
  </si>
  <si>
    <t>Thiết bị đào tạo tối thiểu đáp ứng nhu cầu đào tạo nghề Trường Cao đẳng Kinh tế - Kỹ thuật Cần Thơ</t>
  </si>
  <si>
    <t>3729/QĐ-UBND ngày 06/12/2021</t>
  </si>
  <si>
    <t>Dự án khu giảng đường dãy D, E thuộc Trường Cao đẳng Kinh tế - Kỹ thuật Cần Thơ</t>
  </si>
  <si>
    <t>2452/QĐ-UBND ngày 30/10/2020</t>
  </si>
  <si>
    <t xml:space="preserve">Cải tạo, sửa chữa Trường Cao đẳng Y tế Cần Thơ  </t>
  </si>
  <si>
    <t>2667/QĐ-UBND, ngày 25/11/2020</t>
  </si>
  <si>
    <t>Trường THPT chuyên Lý Tự Trọng</t>
  </si>
  <si>
    <t>Cai Răng</t>
  </si>
  <si>
    <t>2168/QĐ-UBND ngày 07/10/2020</t>
  </si>
  <si>
    <t xml:space="preserve">Trường THCS và THPT Tân Lộc </t>
  </si>
  <si>
    <t>2167/QĐ-UBND ngày 07/10/2020</t>
  </si>
  <si>
    <t xml:space="preserve">Trường phổ thông Dân tộc nội trú </t>
  </si>
  <si>
    <t>2166/QĐ-UBND ngày 07/10/2020</t>
  </si>
  <si>
    <t xml:space="preserve">Trường THCS và THPT Thới Thuận  </t>
  </si>
  <si>
    <t>2170/QĐ-UBND ngày 07/10/2020</t>
  </si>
  <si>
    <t xml:space="preserve">Trường Dạy trẻ khuyết tật  </t>
  </si>
  <si>
    <t>2169/QĐ-UBND ngày 07/10/2020</t>
  </si>
  <si>
    <t>Cải tạo và mua sắm trang thiết bị Trường Đại học Kỹ thuật - Công nghệ Cần Thơ cơ sở 1</t>
  </si>
  <si>
    <t>3054/QĐ-UBND ngày 30/12/2020</t>
  </si>
  <si>
    <t>Cải tạo khối nhà học Trường Cao đẳng Văn hóa Nghệ thuật Cần Thơ</t>
  </si>
  <si>
    <t>1169/QĐ-UBND ngày 31/5/2021
104/QĐ-TCĐ.VHNT ngày 12/7/2021</t>
  </si>
  <si>
    <t xml:space="preserve">Cải tạo, nâng cấp Khối nhà thực hành, triển lãm và Phòng thu âm và phòng dạy nhạc cụ âm thanh lớn (trống, kèn) và mua sắm trang thiết bị, Trường Cao đẳng Văn hóa Nghệ thuật Cần Thơ </t>
  </si>
  <si>
    <t>2025</t>
  </si>
  <si>
    <t>237/UBND-XDĐT ngày 14/01/2025;
07/QĐ-TCĐ.VHNT</t>
  </si>
  <si>
    <t>Nâng cấp Trường Cao đẳng Kinh tế - Kỹ thuật Cần Thơ để thành lập Trường Đại học Kinh tế - Kỹ thuật Nông nghiệp Cần Thơ</t>
  </si>
  <si>
    <t>3216/QĐ-UBND ngày 30/10/2015</t>
  </si>
  <si>
    <t>Trường THPT Phan Văn Trị</t>
  </si>
  <si>
    <t>2014-2018</t>
  </si>
  <si>
    <t xml:space="preserve">3179/QĐ-UBND  30/10/2014 </t>
  </si>
  <si>
    <t>Trường THPT Thới Lai</t>
  </si>
  <si>
    <t>2829/QĐ-UBND 27/10/2017</t>
  </si>
  <si>
    <t>Trường THPT Hà Huy Giáp (giai đoạn 2)</t>
  </si>
  <si>
    <t>4367/QĐ-UBND ngày 31/12/2021 (QT)</t>
  </si>
  <si>
    <t>Trường THPT Châu Văn Liêm</t>
  </si>
  <si>
    <t>3497/QĐ-UBND ngày 16/11/2016</t>
  </si>
  <si>
    <t>Khối lớp học, phòng thí nghiệm thực hành (GĐ 2) tại cơ sờ 1 trường Đại học Kỹ thuật - Công nghệ  Cần Thơ</t>
  </si>
  <si>
    <t>673/QĐ-UBND ngày 17/3/2016</t>
  </si>
  <si>
    <t>Trường THCS Tân Lộc</t>
  </si>
  <si>
    <t>3357/QĐ-UBND ngày 31/10/2016</t>
  </si>
  <si>
    <t xml:space="preserve">Trường Chính trị thành phố Cần Thơ </t>
  </si>
  <si>
    <t>2015-2023</t>
  </si>
  <si>
    <t>1187/QĐ-UBND ngày 20/4/2015
2413/QĐ-UBND ngày 10/10/2019
793/QĐ-UBND ngày 27/3/2023</t>
  </si>
  <si>
    <t>Bồi thường, hỗ trợ và tái định cư Trường Cao đẳng Văn hóa Nghệ thuật Cần Thơ tại phường Long Tuyền, quận Bình Thủy, thành phố Cần Thơ.</t>
  </si>
  <si>
    <t>2269/QĐ-UBND ngày 31/08/2018
3952/QĐ-UBND ngày 17/12/2021
1459/QĐ-UBND ngày 21/6/2023</t>
  </si>
  <si>
    <t>Bối thường, hỗ trợ và tái định cư giai đoạn 1 (5,7ha) thuôc Trường đại học Kỹ thuật - Công nghệ Cần Thơ</t>
  </si>
  <si>
    <t>2017-2023</t>
  </si>
  <si>
    <t>2508/QĐ-UBND ngày 22/9/20217; 3409/QĐ-UBND ngày 13/9/20222</t>
  </si>
  <si>
    <t>3409/QĐ-UBND ngày 13/9/20222 ĐC thời gian thực hiện</t>
  </si>
  <si>
    <t>Trường Tiểu học Thới Thuận 2</t>
  </si>
  <si>
    <t>2623/QĐ-UBND ngày 30/10/2019</t>
  </si>
  <si>
    <t>Trường THCS thị trấn Phong Điền</t>
  </si>
  <si>
    <t>2830/QĐ-UBND 30/10/2018</t>
  </si>
  <si>
    <t xml:space="preserve">Trường Trung học cơ sở Thạnh Quới </t>
  </si>
  <si>
    <t>2856/QĐ-UBND 30/10/2017</t>
  </si>
  <si>
    <t xml:space="preserve">Dự án Đầu tư ngành nghề trọng điểm trường Cao đẳng nghề Cần Thơ </t>
  </si>
  <si>
    <t>1346/QĐ-UBND ngày 24/6/2021</t>
  </si>
  <si>
    <t>Dự án Đầu tư 3 nghề trọng điểm cấp độ Asean Trường Cao đẳng nghề Cần Thơ</t>
  </si>
  <si>
    <t>Dự án nâng cấp Trường Cao đẳng nghề Cần Thơ trở thành trường dạy nghề chất lượng cao theo Quyết định 761/QĐ-TTg</t>
  </si>
  <si>
    <t>1956/QĐ-UBND 06/9/2020</t>
  </si>
  <si>
    <t>147/QĐ-UBND ngày 18/01/2022</t>
  </si>
  <si>
    <t>691/QĐ-UBND ngày 15/02/2022</t>
  </si>
  <si>
    <t xml:space="preserve">Trường Phổ thông Dân tộc nội trú </t>
  </si>
  <si>
    <t>21/QĐ-UBND ngày 06/01/2022</t>
  </si>
  <si>
    <t xml:space="preserve">215/QĐ-SXD ngày 04/11/2021; 320/QĐ-SXD ngày 17/11/2021 </t>
  </si>
  <si>
    <t>QĐ số 320/QĐ-SXD ngày 17/11/2021 (ĐC TMĐT tăng 136 triệu)</t>
  </si>
  <si>
    <t>Trường THCS và THPT Thới Thuận</t>
  </si>
  <si>
    <t>4278/QĐ-UBND ngày 31/12/2021</t>
  </si>
  <si>
    <t>Cải tạo và mua sắm Trang thiết bị Trường Đại học Kỹ thuật-Công nghệ Cần Thơ Cơ sở I</t>
  </si>
  <si>
    <t>53/QĐ-UBND ngày 30/3/2022</t>
  </si>
  <si>
    <t>Khu giảng đường dãy D, E thuộc Trường Cao đẳng Kinh tế - Kỹ thuật Cần Thơ</t>
  </si>
  <si>
    <t>3796/QĐ-UBND ngày 9/12/2021</t>
  </si>
  <si>
    <t>272/QĐ-SXD ngày 14/10/2022</t>
  </si>
  <si>
    <t>Cải tạo, sửa chữa Trường Cao đẳng y tế Cần Thơ</t>
  </si>
  <si>
    <t>21/QĐ-SXD ngày 25/01/2022; CV 3058/UBND-XDĐT ngày 04/8/2022; 221/QĐ-SXD ngày 30/8/2022; 315/QĐ-SXD ngày 5/12/2024</t>
  </si>
  <si>
    <t>CV 3058/UBND-XDĐT ngày 04/8/2022; 221/QĐ-SXD ngày 30/8/2022 (chuyển chủ đầu tư)</t>
  </si>
  <si>
    <t>2938/QĐ-UBND ngày 05/12/2023</t>
  </si>
  <si>
    <t>(6)</t>
  </si>
  <si>
    <t>Văn hóa - Thể dục thể thao</t>
  </si>
  <si>
    <t>Thư viện thành phố Cần Thơ</t>
  </si>
  <si>
    <t>2199/QĐ-UBND ngày 12/10/2020</t>
  </si>
  <si>
    <t xml:space="preserve">Sửa chữa, nâng cấp Trung tâm Văn hóa thành phố </t>
  </si>
  <si>
    <t>2531/QĐ-UBND ngày 10/11/2020</t>
  </si>
  <si>
    <t>Nâng cấp, sửa chữa nhà thi đấu đa năng thành phố Cần Thơ</t>
  </si>
  <si>
    <t>1228/QĐ-UBND ngày 09/6/2021
353/QĐ-SVHTTDL ngày 11/6/2021</t>
  </si>
  <si>
    <t>Dự án bảo tồn, tôn tạo và phát huy giá trị lịch sử địa điểm khảo cổ học Nhơn Thành</t>
  </si>
  <si>
    <t>5719/UBND-XDĐT ngày 09/11/2021
120/QĐ-SVHTTDL ngày 15/03/2022</t>
  </si>
  <si>
    <t>Cải tạo, sửa chữa Trường Phổ thông Năng khiếu thể dục thể thao thành phố Cần Thơ</t>
  </si>
  <si>
    <t>5591/UBND-XDĐT ngày 02/11/2021
122/QĐ-SVHTTDL ngày 16/3/2022</t>
  </si>
  <si>
    <t>Sửa chữa, nâng cấp nhà ở vận động viên, khu liên hợp thể dục thể thao thành phố Cần Thơ</t>
  </si>
  <si>
    <t>1227/QĐ-UBND ngày 09/6/2021
353/QĐ-SVHTTDL ngày 11/6/2021</t>
  </si>
  <si>
    <t>Dự án Bảo tồn, tôn tạo và phát huy giá trị Di tích lịch sử Lộ Vòng Cung (giai đoạn 2)</t>
  </si>
  <si>
    <t>1008/UBND-XDĐT ngày 19/03/2024
906/QĐ-UBND ngày 22/03/2024 của UBND huyện Phong Điền</t>
  </si>
  <si>
    <t>Trùng tu di tích Khám Lớn</t>
  </si>
  <si>
    <t>2185/QĐ-UBND ngày 09/10/2020</t>
  </si>
  <si>
    <t>Trang thiết bị hệ thống âm thanh ánh sáng trung tâm văn hóa TPCT</t>
  </si>
  <si>
    <t>2832/QĐ-UBND 30/10/2018</t>
  </si>
  <si>
    <t>Bia tưởng niệm di tích chiến thắng Ông Đưa</t>
  </si>
  <si>
    <t>1579/QĐ-UBND 16/6/2017</t>
  </si>
  <si>
    <t>Bảo tồn, tôn tạo và phát huy giá trị di tích lịch sử địa điểm thành lập Chi bộ An Nam Cộng sản Đảng Cờ Đỏ</t>
  </si>
  <si>
    <t>2017-2021</t>
  </si>
  <si>
    <t>1783/QĐ-UBND 13/7/2017</t>
  </si>
  <si>
    <t>Thanh toán chi phí bồi thường, hỗ trợ và tái định cư theo Bản án hành chính phục thẩm số 278/2020/HC-PT ngày 14/07/2020 và số 323/2020/HC-PT ngày 28/7/2020 của Tòa cấp cao tại thành phố Hồ Chí Minh</t>
  </si>
  <si>
    <t>Trùng tu di tích Đình Thới An, quận Ô Môn. HM xây mới bờ kè, hàng rào, nhà võ ca</t>
  </si>
  <si>
    <t>2831/QĐ-UBND 30/10/2018</t>
  </si>
  <si>
    <t>Chỉnh lý, trưng bày Bảo tàng thành phố Cần thơ</t>
  </si>
  <si>
    <t>2210/QĐ-UBND 16/9/2019</t>
  </si>
  <si>
    <t>Trung tâm Văn hóa - Thể thao Ninh Kiều</t>
  </si>
  <si>
    <t>2626/QĐ-UBND ngày 30/10/2019</t>
  </si>
  <si>
    <t>Trùng tu Di tích lịch sử Khám Lớn Cần Thơ</t>
  </si>
  <si>
    <t>3685/QĐ-UBND ngày 03/12/2021</t>
  </si>
  <si>
    <t xml:space="preserve">Sửa chữa, nâng cấp nhà ở vận động viên Khu liên hợp thể dục thể thao thành phố Cần Thơ </t>
  </si>
  <si>
    <t xml:space="preserve"> 303/QĐ-SXD ngày 04/11/2022</t>
  </si>
  <si>
    <t xml:space="preserve">Nâng cấp, sửa chữa nhà thi đấu đa năng thành phố Cần Thơ </t>
  </si>
  <si>
    <t>366/QĐ-SXD ngày 27/12/2022</t>
  </si>
  <si>
    <t>1321/QĐ-UBND ngày 5/6/2023</t>
  </si>
  <si>
    <t>chuyển đổi chủ đầu tư từ SVH&amp;TTDL sang Ban QLDA ĐTXD TP</t>
  </si>
  <si>
    <t>Sửa chữa, nâng cấp Trung tâm Văn hóa thành phố Cần Thơ</t>
  </si>
  <si>
    <t>297/QĐ-SXD ngày 29/12/2021</t>
  </si>
  <si>
    <t>3483/QĐ-UBND ngày 27/9/2024</t>
  </si>
  <si>
    <t>(7)</t>
  </si>
  <si>
    <t>Bảo vệ môi trường</t>
  </si>
  <si>
    <t>Đầu tư hệ thống trang thiết bị truyền nhận, phần mềm quản lý, giám sát dữ liệu quan trắc môi trường tự động, liên tục và xây dựng, quản lý CSDL quốc gia về nguồn thải và thiết bị giám sát, quản lý khối lượng chất thải rắn</t>
  </si>
  <si>
    <t>TP.CT</t>
  </si>
  <si>
    <t xml:space="preserve">1403/QĐ-UBND ngày 13/6/2023 </t>
  </si>
  <si>
    <t>Hệ thống xử lý chất thải gây ô nhiệm môi trường Nhà tạm giữ Công an các quận, huyện thuộc Công an thành phố Cần Thơ</t>
  </si>
  <si>
    <t>262/QĐ-SXD ngày 30/10/2019</t>
  </si>
  <si>
    <t>Xây dựng cơ sở dữ liệu đất đai quận Ô Môn</t>
  </si>
  <si>
    <t>2446/QĐ-UBND ngày 06/9/2014
1548/QĐ-UBND ngày 19/6/2018</t>
  </si>
  <si>
    <t>Đầu tư xây dựng nâng chất lượng nước thải sau xử lý của nhà máy xử lý nước thải thành phố Cần Thơ từ cột B lên cột A theo QCVN 40:2011/BTNMT</t>
  </si>
  <si>
    <t>2628/QĐ-UBND ngày 30/10/2019</t>
  </si>
  <si>
    <t>Xây dựng hệ thống hồ sơ địa chính và cơ sở dữ liệu quản lý đất đai quận Thốt Nốt</t>
  </si>
  <si>
    <t>2627/QĐ-UBND 30/10/2019</t>
  </si>
  <si>
    <t>Dự án xây dựng hồ sơ địa chính và cơ sở dữ liệu huyện Thới Lai</t>
  </si>
  <si>
    <t>2148/QĐ-UBND 6/10/2020</t>
  </si>
  <si>
    <t>Tăng cường quản lý đất đai và cơ sở dữ liệu đất đai thực hiện tại thành phố Cần Thơ</t>
  </si>
  <si>
    <t>Ninh Kiều - Bình Thủy - Cái Răng - Phong Điền</t>
  </si>
  <si>
    <t>512/QĐ-UBND 13/3/2020</t>
  </si>
  <si>
    <t>Đầu tư hệ thống trang thiết bị truyền nhận, phần mềm quản lý, giám sát dữ liệu quan trắc môi trường tự động, liên tục và Xây dựng, quản lý cơ sở dữ liệu quốc gia về nguồn thải và thiết bị giám sát, quản lý khối lượng chất thải rắn</t>
  </si>
  <si>
    <t>1240/QĐ-UBND ngày 10/6/2021</t>
  </si>
  <si>
    <t>(8)</t>
  </si>
  <si>
    <t>Khoa học, Công nghệ</t>
  </si>
  <si>
    <t>Cơ sở hạ tầng Khu nông nghiệp ứng dụng công nghệ cao Cần Thơ</t>
  </si>
  <si>
    <t>391/QĐ-BQLDA ngày 30/12/2016</t>
  </si>
  <si>
    <t>Tăng cường cơ sở vật chất, trang thiết bị nâng cao năng lực, chất lượng hoạt động Trung tâm Ứng dụng tiến bộ khoa học và công nghệ thành phố Cần Thơ</t>
  </si>
  <si>
    <t>2432/QĐ-UBND, ngày 29/10/2020</t>
  </si>
  <si>
    <t>Sàn giao dịch công nghệ</t>
  </si>
  <si>
    <t>2387/QĐ-UBND, ngày 27/10/2020</t>
  </si>
  <si>
    <t>Bảo trì trụ sở Trung tâm Kỹ thuật Tiêu chuẩn Đo lường Chất lượng</t>
  </si>
  <si>
    <t>2386/QĐ-UBND, ngày 27/10/2020</t>
  </si>
  <si>
    <t>Sửa chữa, nâng cấp và xây mới một số hạng mục tại Vườn ươm Công nghệ công nghiệp Việt Nam - Hàn Quốc thành phố Cần Thơ</t>
  </si>
  <si>
    <t>2260/UBND-XDĐT ngày 23/06/2023
354/QĐ-SKHCN ngày 18/12/2023</t>
  </si>
  <si>
    <t>Trung tâm Ứng dụng tiến bộ khoa học và công nghệ TP.Cần Thơ</t>
  </si>
  <si>
    <t xml:space="preserve"> Ninh Kiều</t>
  </si>
  <si>
    <t>3243/QĐ-UBND ngày 30/10/2015</t>
  </si>
  <si>
    <t>Mua sắm trang thiết bị tại Trung tâm kỹ thuật tiêu chuẩn đo lường chất lượng Cần Thơ</t>
  </si>
  <si>
    <t>1766/QĐ-UBND 24/5/2016</t>
  </si>
  <si>
    <t>770/QĐ-UBND ngày 22/02/2022</t>
  </si>
  <si>
    <t>Bảo trì  trụ sở và nâng cấp thiết bị Trung tâm Kỹ thuật Tiêu chuẩn Đo lường Chất lượng Cần Thơ</t>
  </si>
  <si>
    <t>303/QĐ-SXD ngày 31/12/2021</t>
  </si>
  <si>
    <t>Dự án Tăng cường cơ sở vật chất, trang thiết bị nâng cao năng lực, chất lượng hoạt động Trung tâm Ứng dụng tiến bộ khoa học và công nghệ thành phố Cần Thơ</t>
  </si>
  <si>
    <t>Dự án Nâng cấp mở rộng và nâng cao năng lực hoạt động Trung tâm Thông tin KH&amp;CN Cần Thơ</t>
  </si>
  <si>
    <t>(9)</t>
  </si>
  <si>
    <t>Thông tin, Công nghệ thông tin</t>
  </si>
  <si>
    <t>Xây dựng phần mềm nền tảng, điều hành cho Trung tâm điều hành đô thị thông minh</t>
  </si>
  <si>
    <t>207/QĐ-UBND ngày 25/01/2021</t>
  </si>
  <si>
    <t>Xây dựng hạ tầng cho Trung tâm điều hành thông minh IOC</t>
  </si>
  <si>
    <t>206/QĐ-UBND ngày 25/01/2021</t>
  </si>
  <si>
    <t>Xây dựng cơ sở dữ liệu về giá trên địa bàn thành phố Cần Thơ</t>
  </si>
  <si>
    <t>1026/QĐ-UBND ngày 14/5/2021</t>
  </si>
  <si>
    <t>Ứng dụng công nghệ thông tin trong hoạt động của cơ quan Đảng thành phố Cần Thơ giai đoạn 2021-2025</t>
  </si>
  <si>
    <t>1563/UBND-XDĐT ngày 28/4/2022;3765/QĐ-UBND ngày 01/11/2022</t>
  </si>
  <si>
    <t>Nâng cấp thiết bị phòng hợp trực tuyến, xây dựng Trung tâm tích hợp dữ liệu, nâng cấp thiết bị hệ thống mạng, phần mềm đặc thù cho các cơ quan Đảng thành phố Cần Thơ</t>
  </si>
  <si>
    <t>3364/QĐ-UBND ngày 31/10/2016</t>
  </si>
  <si>
    <t>Nâng cấp hạ tầng an toàn thông tin thành phố Cần Thơ</t>
  </si>
  <si>
    <t>2553/QĐ-UBND ngày 24/10/2019</t>
  </si>
  <si>
    <t>Xây dựng phần mềm dịch vụ công trực tuyến các lĩnh vực</t>
  </si>
  <si>
    <t>2629/QĐ-UBND 31/10/2019</t>
  </si>
  <si>
    <t>Xây dựng các dịch vụ nền tảng dùng chung toàn thành phố Cần Thơ</t>
  </si>
  <si>
    <t>206/QĐ-SKHĐT ngày 08/10/2019</t>
  </si>
  <si>
    <t>Xây dựng các cơ sở dữ liệu nền tảng</t>
  </si>
  <si>
    <t>2588/QĐ-UBND ngày 28/10/2019</t>
  </si>
  <si>
    <t>23/QĐ-SKHĐT ngày 24/3/2022</t>
  </si>
  <si>
    <t>(10)</t>
  </si>
  <si>
    <t>Hoạt động của các cơ quan quản lý nhà nước, đơn vị sự nghiệp công lập, tổ chức chính trị và các tổ chức chính trị - xã hội</t>
  </si>
  <si>
    <t>Sửa chữa trụ sở trung tâm phát triển quỹ đất thành phố Cần Thơ</t>
  </si>
  <si>
    <t>Công văn số 2690/UBND-XDĐT ngày 14/7/2022;
2202/QĐ-TTPTQĐ ngày 11/08/2022</t>
  </si>
  <si>
    <t>Sửa chữa trụ sở làm việc của Liên Hiệp các Hội Khoa học và Kỹ thuật thành phố</t>
  </si>
  <si>
    <t>2482/QĐ-UBND ngày 05/11/2020</t>
  </si>
  <si>
    <t>Khu hành Chính thành phố Cần Thơ</t>
  </si>
  <si>
    <t>Sửa chữa, cải tạo trụ sở làm việc tại số 01, đường Quang Trung, phường Tân An, quận Ninh Kiều</t>
  </si>
  <si>
    <t>3683/UBND-XDĐT ngày 15/9/2022
09/QĐ-BQLDA ngày 20/02/2023</t>
  </si>
  <si>
    <t>Trụ sở Văn phòng Đoàn đại biểu quốc hội và Hội đồng nhân dân thành phố Cần Thơ</t>
  </si>
  <si>
    <t>1424/QĐ-UBND ngày 06/7/2021
132/QĐ-BQLDA ngày 17/6/2022
174/QĐ-UBND ngày 10/11/2023</t>
  </si>
  <si>
    <t>Cải tạo, sửa chữa Sở Ngoại vụ tại số 27 đường Nam Kỳ Khởi Nghĩa, phường Tân An, quận Ninh Kiều</t>
  </si>
  <si>
    <t>3975/UBND-XDĐT ngày 05/10/2022
79/QĐ-BQLDA ngày 24/05/2023</t>
  </si>
  <si>
    <t>Xây dựng Khối nhà làm việc của Ban Quản lý Nghĩa trang liệt sĩ thành phố Cần Thơ</t>
  </si>
  <si>
    <t>2536/QĐ-UBND ngày 11/11/2020</t>
  </si>
  <si>
    <t>Cải tạo, sửa chữa Trụ sở làm việc của Ban An toàn giao thông thành phố và Thanh tra Sở thuộc Sở Giao thông vận tải</t>
  </si>
  <si>
    <t>3643/UBND-XDĐT ngày 31/8/2021
46/QĐ-BATGT ngày 04/10/2021</t>
  </si>
  <si>
    <t>Nâng cấp, cải tạo nhà điều hành Trung tâm Nước sạch và Vệ sinh môi trường nông thôn</t>
  </si>
  <si>
    <t>1917/QĐ-UBND ngày 14/9/2020</t>
  </si>
  <si>
    <t>Nâng cấp mở rộng và nâng cao năng lực hoạt động Trung tâm Thông tin Khoa học và Công nghệ Cần Thơ</t>
  </si>
  <si>
    <t>2416/QĐ-UBND ngày 28/10/2020</t>
  </si>
  <si>
    <t>Cải tạo, sửa chữa trụ sở Sở Khoa học và Công nghệ</t>
  </si>
  <si>
    <t>2388/QĐ-UBND, ngày 27/10/2020</t>
  </si>
  <si>
    <t>Cải tạo, sửa chữa Hội trường Ban Quản lý các khu chế xuất và công nghiệp Cần Thơ tại khu công nghiệp Trà Nóc</t>
  </si>
  <si>
    <t>2358/QĐ-UBND ngày 26/10/2020</t>
  </si>
  <si>
    <t>Sửa chữa, cải tạo trụ sở làm việc Ban Tôn giáo trực thuộc Sở Nội vụ TP.Cần Thơ</t>
  </si>
  <si>
    <t>2670/QĐ-UBND ngày 25/11/2020</t>
  </si>
  <si>
    <t>Nâng cấp, sửa chữa Trung tâm Xúc tiến Đầu tư - Thương mại và Hội chợ Triển lãm Cần Thơ</t>
  </si>
  <si>
    <t>1151/QĐ-UBND ngày 27/5/2021 
270/QĐ-TTXT ngày 31/5/2021</t>
  </si>
  <si>
    <t>Cải tạo, sửa chữa trụ sở làm việc của Ban Dân tộc thành phố Cần Thơ</t>
  </si>
  <si>
    <t>Ban Dân tộc</t>
  </si>
  <si>
    <t>1397/QĐ-UBND ngày 01/7/2021</t>
  </si>
  <si>
    <t>Sửa chữa trụ sở cơ quan Sở Xây dựng</t>
  </si>
  <si>
    <t>2491/QĐ-UBND ngày 05/11/2020</t>
  </si>
  <si>
    <t>Sửa chữa trụ sở Viện Quy hoạch xây dựng</t>
  </si>
  <si>
    <t>2489/QĐ-UBND ngày 05/11/2020</t>
  </si>
  <si>
    <t>Cải tạo, sủa chữa khu vực tầng hầm và hội trường lớn UBND thành phố</t>
  </si>
  <si>
    <t>3907/UBND-XDĐT ngày 14/9/2021
103/QĐ-VPUB ngày 28/9/2021</t>
  </si>
  <si>
    <t>Sửa chữa, cải tạo hệ thống PCCC kho lưu trữ lịch sử thành phố</t>
  </si>
  <si>
    <t>3907/UBND-XDĐT ngày 14/9/2021
102/QĐ-VPUB ngày 28/9/2021</t>
  </si>
  <si>
    <t>Sửa chữa cơ quan Ủy ban MTTQ Việt Nam thành phố Cần Thơ</t>
  </si>
  <si>
    <t>2490/QĐ-UBND ngày 05/11/2020</t>
  </si>
  <si>
    <t>Cải tạo, sửa chữa trụ sở làm việc Sở Tư pháp</t>
  </si>
  <si>
    <t>467/UBND-XDĐT ngày 09/02/2022
33/QĐ-STP ngày 21/02/2022</t>
  </si>
  <si>
    <t>Cải tạo, sửa chữa Trụ sở làm việc Câu lạc bộ Hưu trí thành phố Cần Thơ</t>
  </si>
  <si>
    <t>1113/UBND-XDĐT ngày 30/3/2022
26/QĐ-CLB ngày 04/04/2022</t>
  </si>
  <si>
    <t>Nâng cấp, sửa chữa trụ sở Chi cục Kiểm Lâm</t>
  </si>
  <si>
    <t>1230/QĐ-UBND ngày 19/5/2022
141/QĐ-SNN&amp;PTNT ngày 05/05/2022</t>
  </si>
  <si>
    <t>Sửa chữa trụ sở Sở Tài nguyên và Môi trường</t>
  </si>
  <si>
    <t>CV 5434/UBND-XDĐT ngày 25/10/2021
95/QĐ-STNMT ngày 08/5/2024</t>
  </si>
  <si>
    <t>Cải tạo, sửa chữa trụ sở Ban QLDA ĐTXD công trình dân dụng và công nghiệp</t>
  </si>
  <si>
    <t>07/QĐ-BQLDA ngày 04/6/2024</t>
  </si>
  <si>
    <t>Cải tạo, sửa chữa nhà khách Tây Nam Bộ</t>
  </si>
  <si>
    <t>2606/UBND -XDĐT ngày 10/6/2025</t>
  </si>
  <si>
    <t xml:space="preserve">Cải tạo, sửa chữa Nhà khách số 2 và Dãy phòng nghỉ sau Trụ sở Thành ủy Cần Thơ 
</t>
  </si>
  <si>
    <t>Cải tạo, sửa chữa trụ Sở Giao thông vận tải</t>
  </si>
  <si>
    <t>187/QĐ-SXD ngày 07/01/2017</t>
  </si>
  <si>
    <t>Sửa chữa, nâng cấp Trụ sở làm việc Viện Kinh tế - Xã hội thành phố Cần Thơ</t>
  </si>
  <si>
    <t>57/QĐ-SXD ngày 10/3/2016;
157/QĐ-SXD ngày 22/7/2016;
53/QĐ-SXD ngày 26/4/2018;
79/QĐ-SXD ngày 16/4/2020</t>
  </si>
  <si>
    <t>Nhà khách Tây Nam thuộc Công an thành phố Cần Thơ nay là Nhà công vụ thuộc Công an thành phố Cần Thơ</t>
  </si>
  <si>
    <t>2007-2011</t>
  </si>
  <si>
    <t>3592/QĐ-BCA-H02 ngày 19/5/2021; 32688/QĐ-H01-P6 ngày 25/04/2023 (QT)</t>
  </si>
  <si>
    <t>Cơ sở hạ tầng khu trung tâm hành chính huyện Vĩnh Thạnh</t>
  </si>
  <si>
    <t>2008-2012</t>
  </si>
  <si>
    <t>1083/QĐ-UBND ngày 11 /04/2006</t>
  </si>
  <si>
    <t>Nâng cấp, cải tạo Trung tâm giống cây trồng, vật nuôi, thủy sản TPCT</t>
  </si>
  <si>
    <t>849/QĐ-UBND 31/3/2016</t>
  </si>
  <si>
    <t>Nâng cấp, sữa chữa trụ sở Sở Y tế thành phố Cần Thơ</t>
  </si>
  <si>
    <t>180/QĐ-STC ngày 21/12/2021 (QT)</t>
  </si>
  <si>
    <t>Dự án bồi thường, GPMB, và cơ sở hạ tầng Khu hành chính và Trung tâm thể dục thể thao quận Bình Thủy, thành phố Cần Thơ</t>
  </si>
  <si>
    <t>833/QĐ-UBND 30/3/2016</t>
  </si>
  <si>
    <t>Xây dựng phòng họp và cải tạo sửa chữa Trụ sở Thành ủy, Hội trường Thành ủy</t>
  </si>
  <si>
    <t>1375/QĐ-UBND ngày 28/6/2021</t>
  </si>
  <si>
    <t>130/QĐ-SXD ngày 04/6/2021</t>
  </si>
  <si>
    <t>Nâng cấp, cải tạo nhà điều hành Trung tâm Nước sạch và VSMT nông thôn</t>
  </si>
  <si>
    <t>170/QĐ-SXD ngày 31/8/2021</t>
  </si>
  <si>
    <t>Cải tạo, sửa chữa Hội trường Ban Quản lý các khu chế xuất và công nghiệp Cần Thơ tại KCN Trà Nóc</t>
  </si>
  <si>
    <t>1383/QĐ-UBND ngày 29/6/2021</t>
  </si>
  <si>
    <t xml:space="preserve">Cải tạo, sửa chữa Trụ sở Chi cục Trồng trọt và Bảo vệ thực vật </t>
  </si>
  <si>
    <t>131/QĐ-SXD ngày 24/11/2021</t>
  </si>
  <si>
    <t>Nâng cấp, sửa chữa trụ sở Sở Giao thông vận tải</t>
  </si>
  <si>
    <t>197/QĐ-SXD ngày 19/10/2021</t>
  </si>
  <si>
    <t>Sửa chữa, cải tạo trụ sở làm việc Ban Tôn Giáo trực thuộc Sở Nội vụ thành phố Cần Thơ</t>
  </si>
  <si>
    <t>99/QĐ-SXD ngày 13/7/2021</t>
  </si>
  <si>
    <t>302/QĐ-SXD ngày 31/12/2021; 348/QĐ-SXD ngày 15/12/2022</t>
  </si>
  <si>
    <t>Nâng cấp, sửa chữa Trung tâm Xúc tiến Đầu tư - Thương mại và Hội chợ triển lãm Cần Thơ</t>
  </si>
  <si>
    <t>36/QĐ-SXD ngày 23/02/2022</t>
  </si>
  <si>
    <t>Trang thiết bị Nhà khách Bộ Chỉ huy quân sự thành phố Cần Thơ</t>
  </si>
  <si>
    <t>102/QĐ-SKHĐT ngày 24/05/2023</t>
  </si>
  <si>
    <t xml:space="preserve">Cải tạo sửa chữa trụ sở Chi cục Thủy Lợi </t>
  </si>
  <si>
    <t>Cải tạo, sửa chữa trụ sở làm việc của Ban Dân tộc</t>
  </si>
  <si>
    <t>305/QĐ-SXD ngày 07/11/2022</t>
  </si>
  <si>
    <t>300/QĐ-SXD ngày 31/12/2021</t>
  </si>
  <si>
    <t>Nâng cấp, sửa chữa Trụ sở Chi cục Kiểm lâm</t>
  </si>
  <si>
    <t>293/QĐ-SXD ngày 28/10/2022</t>
  </si>
  <si>
    <t xml:space="preserve">Trụ sở Văn phòng Đoàn đại biểu Quốc hội và Hội đồng nhân dân thành phố Cần Thơ
</t>
  </si>
  <si>
    <t>12/NQ-HĐND ngày 08/7/2022;
12/NQ-HĐND ngày 26/4/2024</t>
  </si>
  <si>
    <t xml:space="preserve">Cải tạo, sửa chữa Trụ sở làm việc Sở Tư pháp </t>
  </si>
  <si>
    <t>58/QĐ-STC ngày 07/6/2024 (Quyêt toán)</t>
  </si>
  <si>
    <t>06/QĐ-SXD ngày 11/01/2022</t>
  </si>
  <si>
    <t>282/QĐ-SXD ngày 21/10/2022 106/QĐ-SXD ngày 19/4/2023</t>
  </si>
  <si>
    <t>Sửa chữa trụ sở Viện Quy hoạch Xây dựng</t>
  </si>
  <si>
    <t>258/QĐ-SXD ngày 06/10/2022</t>
  </si>
  <si>
    <t>301/QĐ-SXD ngày 31/12/2021</t>
  </si>
  <si>
    <t>99/QĐ-SXD ngày 11/4/2023</t>
  </si>
  <si>
    <t>321/QĐ-SXD ngày 02/11/2022</t>
  </si>
  <si>
    <t>295/QĐ-SXD ngày 28/12/2021</t>
  </si>
  <si>
    <t>Xây dựng trụ sở và trang bị hệ thống phần mềm ứng dụng du lịch thông minh cho Trung tâm Phát triển Du lịch thành phố Cần Thơ</t>
  </si>
  <si>
    <t>296/QĐ-SXD ngày 28/12/2021</t>
  </si>
  <si>
    <t>Xây dựng trụ sở làm việc của Trung tâm Quản lý giao thông đô thị trực thuộc Sở Giao thông vận tải</t>
  </si>
  <si>
    <t>3242/QĐ-UBND ngày 10/11/2021
210/QĐ-UBND ngày 31/01/2024</t>
  </si>
  <si>
    <t>Sửa chữa, cải tạo trụ sở làm việc tại số 01 Quang Trung, phường Tân An, quận Ninh Kiều</t>
  </si>
  <si>
    <t>1568/QĐ-UBND ngày 07/7/2023</t>
  </si>
  <si>
    <t xml:space="preserve">55/QĐ-SXD ngày 12/03/2024 </t>
  </si>
  <si>
    <t>1750/QĐ-UBND ngày 06/8/2024</t>
  </si>
  <si>
    <t>Cải tạo, sửa chữa trụ sở Ban Quản lý dự án đầu tư công trình xây dựng và công nghiệp thành phố Cần Thơ</t>
  </si>
  <si>
    <t>349/QĐ-SXD ngày 31/12/2024</t>
  </si>
  <si>
    <t>(11)</t>
  </si>
  <si>
    <t>Xã hội</t>
  </si>
  <si>
    <t>Nâng cấp, mở rộng Cơ sở cai nghiện ma túy thành phố Cần Thơ</t>
  </si>
  <si>
    <t>TX Ngã Bảy, tỉnh Hậu Giang</t>
  </si>
  <si>
    <t>2357/QĐ-UBND ngày 26/10/2020</t>
  </si>
  <si>
    <t>Dự án hoàn thành</t>
  </si>
  <si>
    <t>Hàng rào bao quanh công trình Mở rộng nghĩa trang liệt sĩ thành phố Cần Thơ - giai đoạn 1</t>
  </si>
  <si>
    <t>101/QĐ-STC ngày 08/7/2021 (QT)</t>
  </si>
  <si>
    <t>Nâng cấp, mở rộng Cơ sở Cai nghiện ma túy thành phố Cần Thơ</t>
  </si>
  <si>
    <t>TX. Ngã Bảy, Hậu Giang</t>
  </si>
  <si>
    <t>4354/QĐ-UBND ngày 31/12/2021</t>
  </si>
  <si>
    <t>Dự án Nâng cấp, mở rộng Trung tâm bảo trợ xã hội thành phố Cần Thơ</t>
  </si>
  <si>
    <t>2842//QĐ-UBND 30/10/2017
3192/QĐ-UBND 07/12/2017</t>
  </si>
  <si>
    <t>(12)</t>
  </si>
  <si>
    <t>Kho tàng</t>
  </si>
  <si>
    <t>Kho lưu trữ chuyên dụng thành phố Cần Thơ</t>
  </si>
  <si>
    <t>1424/QĐ-UBND ngày 15/7/2020</t>
  </si>
  <si>
    <t>(13)</t>
  </si>
  <si>
    <t>Công nghiệp</t>
  </si>
  <si>
    <t>Tiểu dự án Cấp điện nông thôn từ lưới điện quốc gia của thành phố Cần Thơ giai đoạn 2018-2020 - EU tài trợ</t>
  </si>
  <si>
    <t>Phong Điền - Thới Lai - Cờ Đỏ - Vĩnh Thạnh</t>
  </si>
  <si>
    <t>860/QĐ-UBND ngày 9/4/2019</t>
  </si>
  <si>
    <t xml:space="preserve">Dự án Cấp điện nông thôn từ lưới điện quốc giai đoạn 2015-2020 của thành phố Cần Thơ </t>
  </si>
  <si>
    <t>894/QĐ-UBND ngày 31/3/2016</t>
  </si>
  <si>
    <t>(14)</t>
  </si>
  <si>
    <t>Quốc phòng, - An ninh và trật tự, an toàn xã hội</t>
  </si>
  <si>
    <t>Đội Cảnh sát giao thông số 02 thuộc phòng Cảnh sát giao thông đường bộ của Công an thành phố Cần Thơ</t>
  </si>
  <si>
    <t>2805/QĐ-UBND ngày 08/12/2020</t>
  </si>
  <si>
    <t>Xây dựng, cải tạo các buồng hỏi cung bị can + thiết bị ghi âm ghi hình</t>
  </si>
  <si>
    <t>251/QĐ-UBND 16/12/2020</t>
  </si>
  <si>
    <t xml:space="preserve">Xây dựng nhà tạm giữ Công an quận Ô Môn </t>
  </si>
  <si>
    <t>296/UBND-XDĐT ngày 20/10/2021
2435/QĐ-CATP-PH10 ngày 02/11/2021</t>
  </si>
  <si>
    <t>Trụ sở làm việc Thủy đội phòng Cảnh sát giao thông đường thủy - Công an thành phố Cần Thơ</t>
  </si>
  <si>
    <t>6641/UBND-XDĐT ngày 28/12/2021
152/QĐ-CATP-PH10 ngày 20/01/2022</t>
  </si>
  <si>
    <t xml:space="preserve">Mua sắm thiết bị, phương tiện phục vụ công tác phòng cháy, chữa cháy và cứu nạn cứu hộ </t>
  </si>
  <si>
    <t>558/QĐ-UBND ngày 07/02/2022</t>
  </si>
  <si>
    <t>Mua sắm máy móc, trang thiệt bị thành lập Phòng An ninh mạng và phòng, chống tội phạm sử dụng công nghệ cao thuộc Công an thành phố Cần Thơ</t>
  </si>
  <si>
    <t>1387/QĐ-UBND ngày 29/6/2021
815/QĐ-UBND ngày 25/02/2022</t>
  </si>
  <si>
    <t>Trạm Cảnh sát giao thông đường thủy Hưng Phú của Công an thành phố Cần Thơ</t>
  </si>
  <si>
    <t>2634/QĐ-UBND ngày 23/11/2020</t>
  </si>
  <si>
    <t>Trạm Cảnh sát giao thông đường thủy Vàm Thới An của Công an thành phố Cần Thơ</t>
  </si>
  <si>
    <t>2633/QĐ-UBND ngày 23/11/2020</t>
  </si>
  <si>
    <t>Trang bị hệ thống giao ban trực tuyến giữa Bộ CHQS thành phố với các đơn vị trực thuộc</t>
  </si>
  <si>
    <t>5623/UBND-XDĐT ngày 03/11/2021
117/QĐ-UBND ngày 14/01/2022</t>
  </si>
  <si>
    <t>Sửa chữa hồ bơi huấn luyện Bộ Chỉ huy Quân sự thành phố Cần Thơ</t>
  </si>
  <si>
    <t xml:space="preserve"> 5207/UBND-XDĐT ngày 18/12/2023
3531/QĐ-BCH ngày 26/12/2023</t>
  </si>
  <si>
    <t>Sửa chữa kho vũ khí - đạn</t>
  </si>
  <si>
    <t>4347/UBND-XDĐT ngày 08/10/2024
3316/QĐ-BCH ngày 18/10/2024</t>
  </si>
  <si>
    <t>Sửa chữa Tiểu đoàn 410/Trung đoàn 932</t>
  </si>
  <si>
    <t>4348/UBND-XDĐT ngày 08/10/2024
3315/QĐ-BCH ngày 18/10/2024</t>
  </si>
  <si>
    <t>Sửa chữa Trụ sở BCH quân sự thành phố</t>
  </si>
  <si>
    <t>4346/UBND-XDĐT ngày 08/10/2024
3317/QĐ-BCH ngày 18/10/2024</t>
  </si>
  <si>
    <t>Vốn thực hiện dự án</t>
  </si>
  <si>
    <t>Trung tâm huấn luyện và bồi dưỡng nghiệp vụ thuộc Công an thành phố Cần Thơ</t>
  </si>
  <si>
    <t>2009-2015</t>
  </si>
  <si>
    <t>7126/QĐ-BCA-H02 19/9/2019</t>
  </si>
  <si>
    <t>Kho vật chứng thuộc Công an thành phố Cần Thơ</t>
  </si>
  <si>
    <t>3158/QĐ-UBND ngày 27/10/2015</t>
  </si>
  <si>
    <t>06 trụ sở làm việc Công an các xã, thị trấn trên địa bàn huyện Vĩnh Thạnh</t>
  </si>
  <si>
    <t>2853/QĐ-UBND ngày 30/10/2017</t>
  </si>
  <si>
    <t>GPMB xây dựng trụ sở làm việc Phòng Cảnh sát PCCC huyện Phong Điền</t>
  </si>
  <si>
    <t>2019-2020</t>
  </si>
  <si>
    <t>19/QĐ-UBND ngày 06/01/2022 (QT)</t>
  </si>
  <si>
    <t>Thanh toán các chi phí còn lại sau khi dự án được phê duyệt quyết toán dự án hoàn thành</t>
  </si>
  <si>
    <t>Doanh trại Tiểu đoàn Tây Đô</t>
  </si>
  <si>
    <t>2010-2015</t>
  </si>
  <si>
    <t>1548/QĐ-UBND 6/11/2010</t>
  </si>
  <si>
    <t>Thanh toán chi phí hỗ trợ cho các hộ dân khi giao nền tái định cư</t>
  </si>
  <si>
    <t>Trang thiết bị tác chiến Bộ Chỉ huy Quân sự thành phố</t>
  </si>
  <si>
    <t>210/QĐ-SKHĐT ngày 30/10/2019</t>
  </si>
  <si>
    <t>Bồi thường hỗ trợ và tái định cư đất quy hoạch xây dựng Trạm CSGT đường bộ (Trạm số 2) tại phường Phước Thới, quận Ô Môn, thành phố Cần Thơ</t>
  </si>
  <si>
    <t>1363/QĐ-UBND ngày 22/04/2022 (QT)</t>
  </si>
  <si>
    <t>Bồi thường, hỗ trợ và tái định cư khu đất quy hoạch xây dựng trụ sở làm việc Công an huyện Thới Lai (giai đoạn 2) tại xã Tân Thạnh, huyện Thới Lai, thành phố Cần Thơ</t>
  </si>
  <si>
    <t>59/QĐ-STC ngày 22/05/2023 (QT)</t>
  </si>
  <si>
    <t>Bồi thường, hỗ trợ và TĐC phần đất quy hoạch đường song hành dẫn cầu Cần Thơ tạm giao cho BCH Quân sự thành phố quản lý</t>
  </si>
  <si>
    <t>1942/QĐ-UBND ngày 12/8/2019 2897/QĐ-UBND ngày 25/10/2021</t>
  </si>
  <si>
    <t>Cơ sở làm việc Công an quận Ô Môn thuộc Công an TP.Cần Thơ</t>
  </si>
  <si>
    <t>6876/QD-BCA-H02 30/10/2018</t>
  </si>
  <si>
    <t>Cơ sở làm việc Công an quận Cái Răng thuộc Công an thành phố Cần Thơ</t>
  </si>
  <si>
    <t>7251/BCA-H02 ngày 13/11/2018</t>
  </si>
  <si>
    <t xml:space="preserve">Dự án bồi thường, hỗ trợ và tái định cư khu đất mở rộng Ban Chỉ huy quân sự huyện Thới Lai </t>
  </si>
  <si>
    <t xml:space="preserve">14/QĐ-SKHĐT ngày 23/01/2019 </t>
  </si>
  <si>
    <t>Ban CHQS huyện Thới Lai (giai đoạn 2)</t>
  </si>
  <si>
    <t>242/QĐ-SKHĐT 11/10/2019</t>
  </si>
  <si>
    <t>Trường bắn Đồng bằng sông Cửu Long</t>
  </si>
  <si>
    <t>Cờ đỏ</t>
  </si>
  <si>
    <t>2019-2026</t>
  </si>
  <si>
    <t>3077/QĐ-BQP ngày 04/9/2009;
148/QĐ-QK ngày 21/01/2025</t>
  </si>
  <si>
    <t>246/QĐ-SXD ngày 02/12/2021 274/QĐ-SXD ngày 17/10/2022</t>
  </si>
  <si>
    <t>247/QĐ-SXD ngày 02/12/2021</t>
  </si>
  <si>
    <t>Trạm Cảnh sát giao thông thủy Vàm Thới An của Công an thành phố Cần Thơ</t>
  </si>
  <si>
    <t>248/QĐ-SXD ngày 02/12/2021</t>
  </si>
  <si>
    <t>Dự án Mua sắm máy móc, trang thiết bị thành lập Phòng An Ninh mạng và phòng, chống tội phạm sử dụng công nghệ cao thuộc Công an thành phố Cần Thơ</t>
  </si>
  <si>
    <t xml:space="preserve">01/NQ-HĐND ngày 08/12/2023 </t>
  </si>
  <si>
    <t>(15)</t>
  </si>
  <si>
    <t>Phát thanh, truyền hình, thông tấn</t>
  </si>
  <si>
    <t>Hiện đại hóa trang thiết bị kỹ thuật phát thanh và truyền hình  theo hướng truyền thông đa phương tiện</t>
  </si>
  <si>
    <t>1604/QĐ-UBND ngày 28/7/2021</t>
  </si>
  <si>
    <t>(16)</t>
  </si>
  <si>
    <t>Khác</t>
  </si>
  <si>
    <t>Bồi thường, hỗ trợ và tái định cư Học viện Phật giáo Nam Tông Khmer (khoảng 2,8ha) tại phường Châu Văn Liêm, quận Ô Môn.</t>
  </si>
  <si>
    <t>1756/QĐ-UBND ngày 10/7/2017</t>
  </si>
  <si>
    <t>Bồi thường hỗ trợ và tái định cư dự án xây dựng Trung tâm Văn hóa Tây Đô - giai đoạn 1</t>
  </si>
  <si>
    <t>Q. Cái Răng</t>
  </si>
  <si>
    <t>2015-2020</t>
  </si>
  <si>
    <t>1298/QĐ-UBND ngày 06/5/2015</t>
  </si>
  <si>
    <t>Dự án Bồi thướng, hỗ trợ và tái định cư Khu dô thị Võ Văn Kiệt - đoạn từ Rạch Sao đến Rạch Mương Khai (diện tích 35ha)</t>
  </si>
  <si>
    <t>2261/QĐ-UBND 31/8/2018</t>
  </si>
  <si>
    <t>(17)</t>
  </si>
  <si>
    <t>Quy hoạch</t>
  </si>
  <si>
    <t>Đồ án quy hoạch chi tiết tỷ lệ 1/500 Khu đất Kho xăng dầu Tây Nam Bộ</t>
  </si>
  <si>
    <t>725/QĐ-UBND ngày 29/03/2024</t>
  </si>
  <si>
    <t>Đồ án quy hoạch chi tiết tỷ lệ 1/500 Khu đất Bãi công trường 5</t>
  </si>
  <si>
    <t>726/QĐ-UBND ngày 29/03/2024</t>
  </si>
  <si>
    <t>Đồ án quy hoạch chi tiết tỷ lệ 1/500 Khu đất tại Quốc lộ 1A</t>
  </si>
  <si>
    <t>727/QĐ-UBND ngày 29/03/2024</t>
  </si>
  <si>
    <t>Đồ án quy hoạch chi tiết tỷ lệ 1/500 Khu đất do ông Lê Văn Phùng tự nguyện giao trả lại cho nhà nước</t>
  </si>
  <si>
    <t>728/QĐ-UBND ngày 29/03/2024</t>
  </si>
  <si>
    <t>Đồ án quy hoạch chi tiết tỷ lệ 1/500 Khu đất Khu xử lý chất thải rắn Ô Môn</t>
  </si>
  <si>
    <t>729/QĐ-UBND ngày 29/03/2024</t>
  </si>
  <si>
    <t>Đồ án quy hoạch chi tiết tỷ lệ 1/500 Khu đất Bãi bồi sông Hậu</t>
  </si>
  <si>
    <t>1383QĐ-UBND ngày 20/6/2024</t>
  </si>
  <si>
    <t>Đồ án quy hoạch chi tiết tỷ lệ 1/500 Khu đất Bãi công trường 6</t>
  </si>
  <si>
    <t>1382QĐ-UBND ngày 20/6/2025</t>
  </si>
  <si>
    <t>Quy hoạch thành phố Cần Thơ thời kỳ 2021-2030, tầm nhìn đến năm 2050</t>
  </si>
  <si>
    <t>1056/QĐ-TTg ngày 20/7/2020
2180/QĐ-UBND ngày 07/10/2020</t>
  </si>
  <si>
    <t>Điều chỉnh Quy hoạch chi tiết xây dựng tỷ lệ 1/500 Trung tâm Văn hóa Tây Đô, thành phố Cần Thơ</t>
  </si>
  <si>
    <t>1184/QĐ-UBND ngày 31/5/2021; 3903/QĐ-UBND ngày 14/11/2022</t>
  </si>
  <si>
    <t>Điều chỉnh tổng thể đồ án Quy hoạch chung thành phố Cần Thơ đến năm 2030, tầm nhìn đến năm 2050</t>
  </si>
  <si>
    <t>1167/QĐ-UBND ngày 31/5/2021</t>
  </si>
  <si>
    <t xml:space="preserve">Điều chỉnh cục bộ Quy hoạch chung thành phố Cần Thơ đến năm 2030, tầm nhìn đến năm 2050 </t>
  </si>
  <si>
    <t>1230/QĐ-UBND ngày 04/06/2024</t>
  </si>
  <si>
    <t>Quy hoạch phân khu tỷ lệ 1/2000 Khu công nghiệp công nghệ cao quận Ô Môn</t>
  </si>
  <si>
    <t>1231/QĐ-UBND ngày 04/06/2024</t>
  </si>
  <si>
    <t>Quy hoạch phân khu xây dựng tỷ lệ 1/2000 Trung tâm liên kết, sản xuất, chế biến và tiêu thụ sản phẩm nông nghiệp vùng đồng bằng sông Cửu Long tại thành phố Cần Thơ (Khu 1 tại quận Bình Thủy)</t>
  </si>
  <si>
    <t>1229/QĐ-UBND ngày 04/06/2024</t>
  </si>
  <si>
    <t>Quy hoạch phân khu xây dựng tỷ lệ 1/2000 Trung tâm liên kết, sản xuất, chế biến và tiêu thụ sản phẩm nông nghiệp vùng đồng bằng sông Cửu Long tại thành phố Cần Thơ (Khu 2 tại huyện Cờ Đỏ)</t>
  </si>
  <si>
    <t>1228/QĐ-UBND ngày 04/06/2024</t>
  </si>
  <si>
    <t>Đồ án  Quy hoạch chi tiết tỷ lệ 1/500 Khu dịch vụ tổng hợp, logistics khu bến Cái Cui</t>
  </si>
  <si>
    <t>38/QĐ-UBND ngày 08/01/2025</t>
  </si>
  <si>
    <t>Đồ án  Quy hoạch chi tiết tỷ lệ 1/500 Khu dịch vụ tổng hợp, logistics khu Bến cảng Thốt Nốt</t>
  </si>
  <si>
    <t>39/QĐ-UBND ngày 08/01/2026</t>
  </si>
  <si>
    <t>Đồ án Quy hoạch phân khu tỷ lệ 1/2000 cụm càng biển, bến thủy nội địa và kho bãi phục vụ tại phường Phước Thới và phường Thới An, quận Ô Môn</t>
  </si>
  <si>
    <t>344QĐ-UBND ngày 14/02/2025</t>
  </si>
  <si>
    <t>II</t>
  </si>
  <si>
    <t xml:space="preserve">Danh mục dự án cấp huyện (cũ) chuyển giao về Ban quản lý dự án khu vực </t>
  </si>
  <si>
    <t>Ban Quản lý dự án đầu tư xây dựng khu vực Ninh Kiều</t>
  </si>
  <si>
    <t>Vốn chuẩn bị đầu tư và vốn quy hoạch</t>
  </si>
  <si>
    <t>Cải tạo, nâng cấp đường 30 tháng 4 (đoạn từ đường Trần Văn Hoài đến đường Nguyễn Văn Linh)</t>
  </si>
  <si>
    <t>Hưng Lợi</t>
  </si>
  <si>
    <t>25-27</t>
  </si>
  <si>
    <t>Cải tạo, nâng cấp đường 30 tháng 4 (đoạn từ đường Nguyễn Văn Linh đến vòng xoay cầu Đầu Sấu)</t>
  </si>
  <si>
    <t>Cải tạo, nâng cấp một số tuyến đường trong khu tái định cư Thới Nhựt 1, phường An Khánh</t>
  </si>
  <si>
    <t>An Khánh</t>
  </si>
  <si>
    <t>Nạo vét hồ Xáng Thổi, cải tạo kè, công viên và đường quanh hồ</t>
  </si>
  <si>
    <t>An Cư</t>
  </si>
  <si>
    <t>22-25</t>
  </si>
  <si>
    <t>Nâng cấp, mở rộng đường Trần Văn Hoài, quận Ninh Kiều</t>
  </si>
  <si>
    <t>Xuân Khánh</t>
  </si>
  <si>
    <t>22-24</t>
  </si>
  <si>
    <t>88/QĐ-BDAQĐ ngày 16/9/2021</t>
  </si>
  <si>
    <t>Cải tạo Công viên Sông Hậu, phường Cái Khế, quận Ninh Kiều (đoạn từ cầu đi bộ đến bến tàu Novaland)</t>
  </si>
  <si>
    <t>Cái Khế</t>
  </si>
  <si>
    <t>91/QĐ-BDAQĐ ngày 21/09/2021</t>
  </si>
  <si>
    <t>24-25</t>
  </si>
  <si>
    <t>96/QĐ-BDAQĐ ngày 29/9/2023</t>
  </si>
  <si>
    <t>Nâng cấp, mở rộng đường nối từ đường Lò Mổ đến đường Trần Nam Phú (giai đoạn 1)</t>
  </si>
  <si>
    <t>133/QĐ-BDAQĐ ngày 02/11/2022</t>
  </si>
  <si>
    <t>Nâng cấp đường Nguyễn Trãi (đoạn từ cầu Cái Khế đến vòng xoay Hùng Vương), đường Phan Đăng Lưu (đoạn từ đường Hùng Vương đến đường Bùi Thị Xuân) và một số tuyến đường thuộc Trung tâm thương mại Cái Khế, quận Ninh Kiều</t>
  </si>
  <si>
    <t>23-25</t>
  </si>
  <si>
    <t>82/QĐ-BDAQĐ ngày 02/8/2024</t>
  </si>
  <si>
    <t>Xây dựng mới và cải tạo Trường THCS Lương Thế Vinh, quận Ninh Kiều</t>
  </si>
  <si>
    <t>84/QĐ-BDAQĐ ngày 15/9/2021</t>
  </si>
  <si>
    <t>Trường tiểu học An Lạc, quận Ninh Kiều</t>
  </si>
  <si>
    <t>An Lạc</t>
  </si>
  <si>
    <t>39/QĐ-BDAQĐ ngày 07/05/2021</t>
  </si>
  <si>
    <t>Cải tạo, mở rộng Trường THCS Chu Văn An, quận Ninh Kiều</t>
  </si>
  <si>
    <t>Tân An</t>
  </si>
  <si>
    <t>21-24</t>
  </si>
  <si>
    <t>19/QĐ-BDAQĐ ngày 22/02/2021</t>
  </si>
  <si>
    <t>Đường Mạc Đĩnh Chi nối dài (đoạn Trương Định đến Huỳnh Cương)</t>
  </si>
  <si>
    <t>21-23</t>
  </si>
  <si>
    <t>7554/QĐ-UBND ngày 22/10/2020</t>
  </si>
  <si>
    <t>Xây dựng mới và cải tạo Trường tiểu học Lê Quý Đôn</t>
  </si>
  <si>
    <t>Xây dựng mới và cải tạo Trường tiểu học Kim Đồng</t>
  </si>
  <si>
    <t>Xây dựng mới hệ thống thoát nước và cải tạo mặt đường Tầm Vu, phường Hưng Lợi</t>
  </si>
  <si>
    <t>Cải tạo, nâng cấp đường Lương Định Của và đường số 3, phường Cái Khế</t>
  </si>
  <si>
    <t>Hệ thống loa truyền thanh ứng dụng Công nghệ thông tin - viễn thông trên địa bàn quận Ninh Kiều (giai đoạn 2)</t>
  </si>
  <si>
    <t>Cải tạo, sửa chữa Trường tiểu học Phan Bội Châu</t>
  </si>
  <si>
    <t>Thới Bình</t>
  </si>
  <si>
    <t>Cải tạo, sửa chữa các trụ sở làm việc thuộc Trung tâm Văn hóa - Thể thao và Truyền thanh quận Ninh Kiều</t>
  </si>
  <si>
    <t>An Hòa</t>
  </si>
  <si>
    <t>56/QĐ-BDAQĐ ngày 18/7/2023</t>
  </si>
  <si>
    <t>Cải tạo, sửa chữa và mua sắm trang thiết bị cho các trụ sở Ban Chỉ huy quân sự phường thuộc quận Ninh Kiều</t>
  </si>
  <si>
    <t>21-25</t>
  </si>
  <si>
    <t>14/QĐ-BDAQĐ ngày 02/8/2024</t>
  </si>
  <si>
    <t>Nâng cấp, cải tạo đường 30 tháng 4 (đoạn từ đường Mậu Thân đến đường Trần Văn Hoài)</t>
  </si>
  <si>
    <t>24-26</t>
  </si>
  <si>
    <t>80/QĐ-BDAQĐ ngày 02/8/2024</t>
  </si>
  <si>
    <t>Cải tạo, sửa chữa các khối nhà làm việc thuộc Quận ủy Ninh Kiều</t>
  </si>
  <si>
    <t>72/QĐ-BDAQĐ, ngày 24/07/2024</t>
  </si>
  <si>
    <t>Cải tạo, sửa chữa và mua sắm trang thiết bị Trường mầm non Rạng Đông</t>
  </si>
  <si>
    <t>71/QĐ-BDAQĐ ngày 24/07/2024</t>
  </si>
  <si>
    <t>Cải tạo, sửa chữa và mua sắm trang thiết bị Trường mầm non Vàng Anh</t>
  </si>
  <si>
    <t>70/QĐ-BDAQĐ ngày 24/7/2024</t>
  </si>
  <si>
    <t>Cải tạo, nâng cấp hẻm 90 - 118 đường Hùng Vương, quận Ninh Kiều</t>
  </si>
  <si>
    <t>Đầu tư đèn Led thay thế đèn cao áp và bổ sung hệ thống điều khiển thông minh tại một số tuyến đường trên địa bàn quận Ninh Kiều</t>
  </si>
  <si>
    <t>146/QĐ-PQLĐT ngày 08/4/2024</t>
  </si>
  <si>
    <t>Cải tạo, nâng cấp hệ thống thoát nước tại một số vị trí trên địa bàn quận Ninh Kiều</t>
  </si>
  <si>
    <t>468/QĐ-PQLĐT ngày 11/10/2021</t>
  </si>
  <si>
    <t>Cải tạo một số tuyến hẻm phường Xuân Khánh</t>
  </si>
  <si>
    <t>223A/QĐ-PQLĐT ngày 27/10/2021</t>
  </si>
  <si>
    <t>Cải tạo một số tuyến hẻm phường An Hòa</t>
  </si>
  <si>
    <t>349/QĐ-PQLĐT ngày 27/10/2020</t>
  </si>
  <si>
    <t>Cải tạo một số tuyến hẻm phường Hưng Lợi</t>
  </si>
  <si>
    <t xml:space="preserve"> 224A/QĐ-PQLĐT ngày 27/10/2020</t>
  </si>
  <si>
    <t>Cải tạo một số tuyến hẻm phường Thới Bình</t>
  </si>
  <si>
    <t>347A/QĐ-PQLĐT ngày 27/10/2020</t>
  </si>
  <si>
    <t>Cải tạo một số tuyến hẻm phường An Khánh, phường An Bình</t>
  </si>
  <si>
    <t>147/QĐ-PQLĐT ngày 28/03/2023</t>
  </si>
  <si>
    <t>Cải tạo, nâng cấp một số hẻm phường An Khánh</t>
  </si>
  <si>
    <t>345/QĐ-PQLĐT ngày 27/10/2020</t>
  </si>
  <si>
    <t>Cải tạo, nâng cấp hẻm vào chung cư Cơ Khí, phường An Hòa</t>
  </si>
  <si>
    <t>390/QĐ-PQLĐT ngày 16/09/2021</t>
  </si>
  <si>
    <t>Cải tạo, nâng cấp hẻm 216, đường 3 tháng 2, phường Hưng Lợi</t>
  </si>
  <si>
    <t>100/QĐ-PQLĐT ngày 25/03/2022</t>
  </si>
  <si>
    <t>Cải tạo, nâng cấp hẻm 18 đường Xô Viết Nghệ Tĩnh và hẻm 15 đường Hoàng Văn Thụ, phường Tân An</t>
  </si>
  <si>
    <t>338/QĐ-PQLĐT ngày 02/08/2022</t>
  </si>
  <si>
    <t xml:space="preserve">Cải tạo một số tuyến hẻm phường Xuân Khánh và hẻm 118/120 đường Trần Phú, hẻm 206/21 đường Lê Lợi, phường Cái Khế </t>
  </si>
  <si>
    <t>145/QĐ-PQLĐT ngày 28/03/2023</t>
  </si>
  <si>
    <t>Cải tạo một số tuyến hẻm phường An Phú, phường Hưng Lợi và hẻm Trường Tiểu học Cái Khế 3 đường Nguyễn Bỉnh Khiêm, hẻm 206, hẻm 77C đường Trần Phú phường Cái Khế</t>
  </si>
  <si>
    <t>143/QĐ-PQLĐT ngày 28/03/2023</t>
  </si>
  <si>
    <t xml:space="preserve">Nâng cấp, cải tạo hệ thống thoát nước tại Khu dân cư Metro, Khu dân cư 148, đường Nguyễn Trãi và một số vị trí khác trên địa bàn quận Ninh Kiều </t>
  </si>
  <si>
    <t>195/QĐ-PQLĐT ngày 25/4/2023</t>
  </si>
  <si>
    <t xml:space="preserve">Cải tạo, nâng cấp hệ thống đèn chiếu sáng công cộng trên địa bàn quận Ninh Kiều </t>
  </si>
  <si>
    <t>210/QĐ-PQLĐT ngày 09/5/2023</t>
  </si>
  <si>
    <t>Phương án chống ngập rạch Khai Luông, phường Cái Khế</t>
  </si>
  <si>
    <t>142/QĐ-PQLĐT ngày 08/4/2024</t>
  </si>
  <si>
    <t>Cải tạo, sửa chữa Cơ sở điều trị Methadone quận (Trạm Y tế phường An Lạc cũ)</t>
  </si>
  <si>
    <t>309/QĐ-PQLĐT ngày 27/7/2021</t>
  </si>
  <si>
    <t>Cải tạo, sửa chữa trụ sở Hội Cựu chiến binh, Mặt trận tổ quốc Việt Nam và Phòng Quản lý đô thị quận Ninh Kiều</t>
  </si>
  <si>
    <t>01/QĐ-PQLĐT ngày 10/01/2022</t>
  </si>
  <si>
    <t>Cải tạo, sửa chữa Trụ sở UBND phường An Khánh</t>
  </si>
  <si>
    <t xml:space="preserve">276/QĐ-PQLĐT ngày 15/6/2022 </t>
  </si>
  <si>
    <t>Cải tạo, sửa chữa và mua sắm bổ sung cơ sở vật chất cho các cơ quan thuộc UBND quận Ninh Kiều</t>
  </si>
  <si>
    <t>193/QĐ-PQLĐT ngày 25/4/2023</t>
  </si>
  <si>
    <t>Cải tạo, sửa chữa PQLĐT và kho vật tư hẻm 534 đường 30/4, phường Hưng Lợi và Đội Cảnh sát PCCC Công an quận Ninh Kiều</t>
  </si>
  <si>
    <t>140/QĐ-PQLĐT ngày 08/4/2024</t>
  </si>
  <si>
    <t>Nâng cấp các tuyến hẻm 2 đường Lý Tự Trọng, hẻm 51 đường Đề Thám, hẻm 22/23 đường Mạc Đĩnh Chi, hẻm 107, 137 đường Hoàng Văn Thụ, phường An Cư và hẻm 22 đường Trần Hoàng Na, phường Hưng Lợi</t>
  </si>
  <si>
    <t>223/QĐ-PQLĐT ngày 20/05/2024</t>
  </si>
  <si>
    <t>Nâng cấp các tuyến hẻm 1, 2, 3 tổ 4 KV4, hẻm 383A tổ 8, hẻm 388A, 388E tổ 3, hẻm 75 tổ 1 KV2, hẻm 51 đường Trần Nam Phú, phường An Khánh và hẻm 144, 32 đường CMT8, phường Cái Khế</t>
  </si>
  <si>
    <t>224/QĐ-PQLĐT ngày 20/05/2024</t>
  </si>
  <si>
    <t>Nâng cấp hẻm 36, hẻm 112, hẻm 170 và hẻm 234 đường Hoàng Quốc Việt, phường An Bình</t>
  </si>
  <si>
    <t>An Bình</t>
  </si>
  <si>
    <t>222/QĐ-PQLĐT ngày 20/05/2024</t>
  </si>
  <si>
    <t>Nâng cấp các tuyến hẻm KDC 16B, 27 đường Mậu Thân, hẻm 162 đường Phạm Ngũ Lão, hẻm 321 đường Nguyễn Đệ, hẻm 61 đường CMT8, hẻm 9-15, 49-57 đường Võ Trường Toản, hẻm 104, 66A, 311/89, 188/1, hẻm nhánh 147 đường Nguyễn Văn Cừ, phường An Hoà</t>
  </si>
  <si>
    <t>225/QĐ-PQLĐT ngày 20/05/2024</t>
  </si>
  <si>
    <t>Nâng cấp, sữa chữa đường Lê Anh Xuân và đường Hồ Xuân Hương (đoạn từ đường Hùng Vương đến hẻm 67 Phan Đăng Lưu)</t>
  </si>
  <si>
    <t>144/QĐ-PQLĐT ngày 08/4/2024</t>
  </si>
  <si>
    <t xml:space="preserve">Cải tạo vỉa hè đường Đề Thám, đường Nguyễn Khuyến, đường Lý Tự Trọng, đường Phan Văn Trị, đường Quang Trung </t>
  </si>
  <si>
    <t>226/QĐ-PQLĐT ngày 20/05/2024</t>
  </si>
  <si>
    <t>Cải tạo vỉa hè các tuyến đường Nguyễn Trãi, Ngô Quyền, Phan Đình Phùng, Trần Quốc Toản, Thủ Khoa Huân, Lý Thường Kiệt và trước UBND TP.Cần Thơ</t>
  </si>
  <si>
    <t>227/QĐ-PQLĐT ngày 20/05/2024</t>
  </si>
  <si>
    <t>Cải tạo vỉa hè Đại lộ Hòa Bình</t>
  </si>
  <si>
    <t>228/QĐ-PQLĐT ngày 20/05/2024</t>
  </si>
  <si>
    <t>Cải tạo bờ kè đường Mạc Thiên Tích (Mậu Thân - Nguyễn Thị Minh Khai)</t>
  </si>
  <si>
    <t>97/QĐ-PKTHTĐT ngày 08/4/2025</t>
  </si>
  <si>
    <t>Cải tạo vỉa hè đường 30 tháng 4 (Phan Văn Trị - Mậu Thân)</t>
  </si>
  <si>
    <t>107/QĐ-PKTHTĐT ngày 14/4/2025</t>
  </si>
  <si>
    <t>Cải tạo vỉa hè đường Nguyễn An Ninh - Châu Văn Liêm, Nguyễn Thái Học - Võ Văn Tần</t>
  </si>
  <si>
    <t>109/QĐ-PKTHTĐT ngày 14/4/2025</t>
  </si>
  <si>
    <t>Cải tạo, sửa chữa các hạng mục Nhà văn hóa thiếu nhi quận Ninh Kiều</t>
  </si>
  <si>
    <t>259/QĐ-PQLĐT ngày 20/5/2024</t>
  </si>
  <si>
    <t>Cải tạo, nâng cấp đường dân sinh hai bên cầu Hưng Lợi, phường Hưng Lợi</t>
  </si>
  <si>
    <t>761/QĐ-PQLĐT ngày 03/10/2024</t>
  </si>
  <si>
    <t>Cải tạo, sửa chữa Trường tiểu học Xuân Khánh 2</t>
  </si>
  <si>
    <t>173/QĐ-PGDĐT
Ngày 01/10/2024</t>
  </si>
  <si>
    <t>Cải tạo, sửa chữa Trường tiểu học Nguyễn Hiền</t>
  </si>
  <si>
    <t>175/QĐ-PGDĐT
Ngày 01/10/2024</t>
  </si>
  <si>
    <t>Cải tạo, sửa chữa Trường tiểu học Tô Hiến Thành</t>
  </si>
  <si>
    <t>174/QĐ-PGDĐT
Ngày 01/10/2024</t>
  </si>
  <si>
    <t>Cải tạo, sửa chữa Trường mầm non Hoàng Anh</t>
  </si>
  <si>
    <t>An Hội</t>
  </si>
  <si>
    <t>27/QĐ-PGDĐT
Ngày 24/02/2023</t>
  </si>
  <si>
    <t>Xây dựng phòng chức năng Trường THCS Trần Hưng Đạo</t>
  </si>
  <si>
    <t>An Phú</t>
  </si>
  <si>
    <t>96/QĐ-PGDĐT
Ngày 05/7/2021</t>
  </si>
  <si>
    <t>Cải tạo, sửa chữa Trường tiểu học Cái Khế 2</t>
  </si>
  <si>
    <t>28/QĐ-PGDĐT
Ngày 24/02/2023</t>
  </si>
  <si>
    <t>Cải tạo, sửa chữa Trường THCS An Lạc</t>
  </si>
  <si>
    <t>30/QĐ-PGDĐT
Ngày 24/02/2023</t>
  </si>
  <si>
    <t xml:space="preserve">Cải tạo, sửa chữa Trường mầm non Tuổi Ngọc </t>
  </si>
  <si>
    <t>105/QĐ-PGDĐT
Ngày 18/7/2023</t>
  </si>
  <si>
    <t xml:space="preserve">Mua sắm thiết bị dạy học tồi thiểu lớp 5, lớp 9 theo chương trình giáo dục phổ thông mới </t>
  </si>
  <si>
    <t>10/QĐ-PGDĐT
Ngày 20/01/2024</t>
  </si>
  <si>
    <t>Cải tạo, sửa chữa Trường TH Thới Bình 1 (điểm B)</t>
  </si>
  <si>
    <t>108/QĐ-PGDĐT
Ngày 18/7/2023</t>
  </si>
  <si>
    <t>Sửa chữa Trường Mầm non Bông Sen</t>
  </si>
  <si>
    <t>112/QĐ-PGDĐT
Ngày 19/7/2023</t>
  </si>
  <si>
    <t>Mua sắm thiết bị hội trường cho các trường mầm non, tiểu học và trung học cơ sở công lập thuộc quận Ninh Kiều</t>
  </si>
  <si>
    <t>170/QĐ-PGDĐT
Ngày 01/10/2024</t>
  </si>
  <si>
    <t>Cải tạo, sửa chữa Trường Mầm non An Bình</t>
  </si>
  <si>
    <t>137/QĐ-PGDĐT
Ngày 09/8/2024</t>
  </si>
  <si>
    <t>Cải tạo, sửa chữa Trường tiểu học Cái Khế 1</t>
  </si>
  <si>
    <t>51/QĐ-PGDĐT
Ngày 03/4/2025</t>
  </si>
  <si>
    <t>Điểm tập kết rác tạm tại bãi công trường cầu Hưng Lợi</t>
  </si>
  <si>
    <t>18/QĐ-PTNMT ngày 28/7/2023</t>
  </si>
  <si>
    <t>Điểm tập kết trung chuyển rác thải Khu Tái định cư Ninh Kiều</t>
  </si>
  <si>
    <t>01/QĐ-PTNMT ngày 27/02/2024</t>
  </si>
  <si>
    <t xml:space="preserve"> Đồ án Quy hoạch phân khu tỉ lệ 1/2000 quận Ninh Kiều (phân khu 1)</t>
  </si>
  <si>
    <t xml:space="preserve"> Đồ án Quy hoạch phân khu tỉ lệ 1/2000 quận Ninh Kiều (phân khu 2)</t>
  </si>
  <si>
    <t xml:space="preserve"> Đồ án Quy hoạch phân khu tỉ lệ 1/2000 quận Ninh Kiều (phân khu 3)</t>
  </si>
  <si>
    <t xml:space="preserve"> Đồ án Quy hoạch phân khu tỉ lệ 1/2000 quận Ninh Kiều (phân khu 4)</t>
  </si>
  <si>
    <t>Trường tiểu học Trần Quốc Toản, quận Ninh Kiều</t>
  </si>
  <si>
    <t>20-25</t>
  </si>
  <si>
    <t>6489 31/10/19</t>
  </si>
  <si>
    <t>Trường tiểu học An Bình</t>
  </si>
  <si>
    <t>19-25</t>
  </si>
  <si>
    <t>5231+6364 13/09/19+17/11/22</t>
  </si>
  <si>
    <t>Trường mầm non Phượng Hồng, quận Ninh Kiều</t>
  </si>
  <si>
    <t>7749 '30/10/20</t>
  </si>
  <si>
    <t>Đường cặp bờ kè rạch Khai Luông (cầu Ninh Kiều - Hai Bà Trưng)</t>
  </si>
  <si>
    <t>2247 '5/4/22</t>
  </si>
  <si>
    <t>Nâng cấp, mở rộng đường Trần Phú (giai đoạn 1) phường Cái Khế, quận Ninh Kiều, thành phố Cần Thơ</t>
  </si>
  <si>
    <t>19-23</t>
  </si>
  <si>
    <t>6975+3676 31/10/18+25/6/21</t>
  </si>
  <si>
    <t>Cải tạo, mở rộng Trường tiểu học Nguyễn Du, quận Ninh Kiều</t>
  </si>
  <si>
    <t>20-22</t>
  </si>
  <si>
    <t>5232 13/9/19</t>
  </si>
  <si>
    <t>Cải tạo, sửa chữa Trường tiểu học Ngô Quyền, quận Ninh Kiều</t>
  </si>
  <si>
    <t>6483 31/10/19</t>
  </si>
  <si>
    <t>Cải tạo, sửa chữa Trường tiểu học Võ Trường Toản, quận Ninh Kiều</t>
  </si>
  <si>
    <t>An Hoà</t>
  </si>
  <si>
    <t>6485 31/10/19</t>
  </si>
  <si>
    <t>Cải tạo, mở rộng Trường tiểu học An Nghiệp, quận Ninh Kiều</t>
  </si>
  <si>
    <t>An Nghiệp</t>
  </si>
  <si>
    <t>6486 31/10/19</t>
  </si>
  <si>
    <t>Cải tạo, sửa chữa Trường THCS Lương Thế Vinh, quận Ninh Kiều</t>
  </si>
  <si>
    <t>6487 31/10/19</t>
  </si>
  <si>
    <t>Dự án khởi công mới giai đoạn 2021-2025</t>
  </si>
  <si>
    <t>12204 23/12/21</t>
  </si>
  <si>
    <t>9511+5949 '8/11/21+25/10/22</t>
  </si>
  <si>
    <t>665+874 28/01/22+15/3/23</t>
  </si>
  <si>
    <t>7751 30/10/20</t>
  </si>
  <si>
    <t>3640+752 '14/6/22+07/3/23</t>
  </si>
  <si>
    <t>4014 '05/7/22</t>
  </si>
  <si>
    <t>2606 '27/4/22</t>
  </si>
  <si>
    <t>Trụ sở cơ quan phường An Cư, quận Ninh Kiều</t>
  </si>
  <si>
    <t>4113 '07/7/22</t>
  </si>
  <si>
    <t>6075 '28/10/22</t>
  </si>
  <si>
    <t>1416/QĐ-UBND ngày 28/03/2024</t>
  </si>
  <si>
    <t>6514 '23/11/23</t>
  </si>
  <si>
    <t>QĐ 1235/QĐ-UBND ngày 21/3/2025</t>
  </si>
  <si>
    <t>QĐ 1541/QĐ-UBND ngày 04/4/2025</t>
  </si>
  <si>
    <t>QĐ 1324/QĐ-UBND ngày 25/3/2025</t>
  </si>
  <si>
    <t>Cải tạo, sửa chữa Trụ sở công an phường An Cư, An Nghiệp, Đội Cảnh sát điều tra tội phạm về ma túy và Đội Cảnh sát Hình sự thuộc Công an quận Ninh Kiều</t>
  </si>
  <si>
    <t>1273 '22/3/24</t>
  </si>
  <si>
    <t>2470 '13/6/23</t>
  </si>
  <si>
    <t>6517 '23/11/23</t>
  </si>
  <si>
    <t>4771/QĐ-UBND ngày 23/9/2024</t>
  </si>
  <si>
    <t>Cải tạo, sửa chữa và mua sắm trang thiết bị Trường mầm non Rạng Đông, quận Ninh Kiều</t>
  </si>
  <si>
    <t>5177/QĐ-UBND ngày 18/10/2024</t>
  </si>
  <si>
    <t>Cải tạo, sửa chữa và mua sắm trang thiết bị Trường mầm non Vàng Anh, quận Ninh Kiều</t>
  </si>
  <si>
    <t>5176/QĐ-UBND ngày 18/10/2024</t>
  </si>
  <si>
    <t>QĐ 5205/QĐ-UBND ngày 21/10/2024</t>
  </si>
  <si>
    <t>Cải tạo, nâng cấp một số tuyến đường thuộc khu vực Trung tâm thương mại Cái Khế, quận Ninh Kiều</t>
  </si>
  <si>
    <t>6922 '12/12/22</t>
  </si>
  <si>
    <t>5821 '22/11/24</t>
  </si>
  <si>
    <t>QĐ 1237/QĐ-UBND ngày 21/3/2025</t>
  </si>
  <si>
    <t>1439/QĐ-UBND ngày 28/3/2025</t>
  </si>
  <si>
    <t>8487 '14/10/21</t>
  </si>
  <si>
    <t>12670 '31/12/21</t>
  </si>
  <si>
    <t>7744 '29/10/20</t>
  </si>
  <si>
    <t>7707 '29/10/20</t>
  </si>
  <si>
    <t>7702 '29/10/20</t>
  </si>
  <si>
    <t>Cải tạo, nâng cấp một số hẻm phường An Khánh, quận Ninh Kiều</t>
  </si>
  <si>
    <t>7708 '29/10/20</t>
  </si>
  <si>
    <t>7709 '29/10/20</t>
  </si>
  <si>
    <t>Cải tạo, nâng cấp hẻm vào chung cư Cơ Khí, phường An Hòa, quận Ninh Kiều</t>
  </si>
  <si>
    <t>2152 04/4/22</t>
  </si>
  <si>
    <t>Cải tạo, nâng cấp hẻm 216, đường 3 tháng 2, phường Hưng Lợi, quận Ninh Kiều</t>
  </si>
  <si>
    <t>2179 '5/4/22</t>
  </si>
  <si>
    <t>2177 '5/4/22</t>
  </si>
  <si>
    <t>Cải tạo, sửa chữa Trụ sở UBND phường An Khánh, quận Ninh Kiều</t>
  </si>
  <si>
    <t>5220 '5/9/22</t>
  </si>
  <si>
    <t>5014 '19/8/22</t>
  </si>
  <si>
    <t>Cải tạo, nâng cấp đường dân sinh hai bên cầu Hưng Lợi, phường Hưng Lợi, quận Ninh Kiều</t>
  </si>
  <si>
    <t>5658 ngày 18/11/24</t>
  </si>
  <si>
    <t>2326 '6/6/23</t>
  </si>
  <si>
    <t>2158 '29/5/23</t>
  </si>
  <si>
    <t xml:space="preserve">Cải tạo một số tuyến hẻm phường An Phú, phường Hưng Lợi; hẻm Trường Tiểu học Cái Khế 3, đường Nguyễn Bỉnh Khiêm, hẻm 206, hẻm 77C đường Trần Phú, phường Cái Khế </t>
  </si>
  <si>
    <t>2330 '6/6/23</t>
  </si>
  <si>
    <t>2462 '12/6/23</t>
  </si>
  <si>
    <t>2461 12/6/2023</t>
  </si>
  <si>
    <t>2459 ngày 12/6/22</t>
  </si>
  <si>
    <t>2688 ngày 10/6/24</t>
  </si>
  <si>
    <t>2689 ngày 10/6/24</t>
  </si>
  <si>
    <t>Cải tạo, sửa chữa Phòng Quản lý đô thị và kho vật tư hẻm 534 đường 30 tháng 4, phừng Hưng Lợi và Đội Cảnh sát Phòng cháy chữa cháy Công An quận Ninh Kiều</t>
  </si>
  <si>
    <t>2694 ngày 10/6/24</t>
  </si>
  <si>
    <t>Phương án chống ngập Rạch Khai Luông, phường Cái Khế, quận Ninh Kiều</t>
  </si>
  <si>
    <t>2695 ngày 10/6/24</t>
  </si>
  <si>
    <t>2687 ngày 10/6/24</t>
  </si>
  <si>
    <t>2690 ngày 10/6/2024</t>
  </si>
  <si>
    <t>2686 ngày 10/6/24</t>
  </si>
  <si>
    <t>2691 ngày 10/6/2024</t>
  </si>
  <si>
    <t>2692 ngày 10/6/24</t>
  </si>
  <si>
    <t>2696 ngày 10/6/24</t>
  </si>
  <si>
    <t>2068 ngày 05/5/25</t>
  </si>
  <si>
    <t>2063 ngày 29/14/25</t>
  </si>
  <si>
    <t>1827 '21/4/25</t>
  </si>
  <si>
    <t>1892 '25/4/25</t>
  </si>
  <si>
    <t>2693 ngày 10/6/24</t>
  </si>
  <si>
    <t>8473 '13/10/21</t>
  </si>
  <si>
    <t>Cải tạo, mở rộng Trường tiểu học Kim Đồng, quận Ninh Kiều</t>
  </si>
  <si>
    <t>7745 30/10/20</t>
  </si>
  <si>
    <t>Cải tạo, sửa chữa trường Mầm non Hoàng Anh</t>
  </si>
  <si>
    <t>6237
08/11/2023</t>
  </si>
  <si>
    <t>Cải tạo, sửa chữa trường Tiểu học Cái Khế 2</t>
  </si>
  <si>
    <t>6238
08/11/2023</t>
  </si>
  <si>
    <t>6644
01/12/2023</t>
  </si>
  <si>
    <t>Cải tạo, sửa chữa Trường MN Tuổi Ngọc</t>
  </si>
  <si>
    <t>6641
01/12/2023</t>
  </si>
  <si>
    <t>6642
01/12/2023</t>
  </si>
  <si>
    <t>Sửa chữa Trường MN Bông Sen</t>
  </si>
  <si>
    <t>6643
01/12/2023</t>
  </si>
  <si>
    <t>Xây dựng nhà vệ sinh và cải tạo sửa chữa trường Tiểu học Võ Trường Toản</t>
  </si>
  <si>
    <t>6640
01/12/2023</t>
  </si>
  <si>
    <t>Mua sắm thiết bị dạy học tối thiểu lớp 5, lớp 9 theo chương trình giáo dục phổ thông mới</t>
  </si>
  <si>
    <t>6242 '10/11/23</t>
  </si>
  <si>
    <t>6243 10/11/23</t>
  </si>
  <si>
    <t>Cải tạo, sửa chữa Trường mầm non An Bình</t>
  </si>
  <si>
    <t>5817
22/11/2024</t>
  </si>
  <si>
    <t>6837
27/12/2024</t>
  </si>
  <si>
    <t>6835
27/12/2024</t>
  </si>
  <si>
    <t>6836
27/12/2024</t>
  </si>
  <si>
    <t>Trạm trung chuyển rác khu Tái định cư Ninh Kiều</t>
  </si>
  <si>
    <t>6516 '23/11/23</t>
  </si>
  <si>
    <t>Cấp vốn ủy thác cho Chi nhánh Ngân hàng Chính sách xã hội TP Cần Thơ</t>
  </si>
  <si>
    <t>Ban Quản lý dự án đầu tư xây dựng khu vực Bình Thủy.</t>
  </si>
  <si>
    <t>Vốn chuẩn bị đầu tư, vốn quy hoạch</t>
  </si>
  <si>
    <t>Dự án hoàn thành, bàn giao đưa vào sử dụng giai đoạn trước</t>
  </si>
  <si>
    <t>Xây dựng mới và Nâng cấp, sửa chữa các nhà văn hóa khu vực trên địa bàn quận</t>
  </si>
  <si>
    <t>Quận Bình Thủy</t>
  </si>
  <si>
    <t xml:space="preserve"> 4550/QĐ-UBND ngày 15/12/2023</t>
  </si>
  <si>
    <t>Nâng cấp tuyến đường Lê Văn Bì và các hẻm nhánh, phường An Thới, quận Bình Thủy</t>
  </si>
  <si>
    <t>Phường An Thới</t>
  </si>
  <si>
    <t xml:space="preserve"> 1464/QĐ-UBND ngày 25/4/2023</t>
  </si>
  <si>
    <t>Sửa chữa, cải tạo các Ban Xây dựng Đảng và các Đoàn thể Quận ủy Bình Thủy</t>
  </si>
  <si>
    <t>P. Bình Thủy</t>
  </si>
  <si>
    <t>2024-2026</t>
  </si>
  <si>
    <t xml:space="preserve"> 1039/QĐ-UBND ngày 29/3/2024</t>
  </si>
  <si>
    <t>Nâng cấp, cải tạo đường Trần Quang Diệu, phường An Thới</t>
  </si>
  <si>
    <t xml:space="preserve"> 3874/QĐ-UBND ngày 29/10/2021</t>
  </si>
  <si>
    <t>Dự án chuyển tiếp từ giai đoạn trước</t>
  </si>
  <si>
    <t>Trường Trung học cơ sở Trà Nóc, quận Bình Thủy</t>
  </si>
  <si>
    <t>Phường Trà Nóc</t>
  </si>
  <si>
    <t xml:space="preserve"> 3875/QĐ-UBND ngày 04/10/2022</t>
  </si>
  <si>
    <t>Trường Tiểu học Long Hoà 2, quận Bình Thủy</t>
  </si>
  <si>
    <t>Phường Long Hòa</t>
  </si>
  <si>
    <t xml:space="preserve"> 4689/QĐ-UBND ngày 15/12/2021</t>
  </si>
  <si>
    <t>Nâng cấp, mở rộng đường Hồ Trung Thành (đoạn từ đường Lê Hồng Phong đến Khu Tái định cư Bình Thủy- Khu 1)</t>
  </si>
  <si>
    <t>Phường 
Trà An</t>
  </si>
  <si>
    <t>2022-2026</t>
  </si>
  <si>
    <t xml:space="preserve"> 5052/QĐ-UBND ngày 14/12/2022</t>
  </si>
  <si>
    <t>Mua sắm trang thiết bị, bàn, ghế học sinh các điểm trường trên địa bàn quận.</t>
  </si>
  <si>
    <t>4578/QĐ-UBND ngày 16/12/2024</t>
  </si>
  <si>
    <t>Sửa chữa, nâng cấp phòng lớp các điểm trường trong hè năm 2025 quận Bình Thủy</t>
  </si>
  <si>
    <t>4575/QĐ-UBND ngày 16/12/2024</t>
  </si>
  <si>
    <t>Hệ thống loa truyền thanh ứng dụng Công nghệ Thông tin – Viễn thông 07 phường trên địa bàn quận Bình Thủy</t>
  </si>
  <si>
    <t>7 phường</t>
  </si>
  <si>
    <t>4569/QĐ-UBND ngày 13/12/2024</t>
  </si>
  <si>
    <t>Xây dựng Trạm trung chuyển rác tại phường Long Tuyền</t>
  </si>
  <si>
    <t>Phường 
Long Tuyền</t>
  </si>
  <si>
    <t xml:space="preserve"> 3987/QĐ-UBND ngày 17/10/2022</t>
  </si>
  <si>
    <t>Nâng cấp, mở rộng các tuyến Hẻm 170, 172, 174, 583 đường Trần Quang Diệu, phường An Thới</t>
  </si>
  <si>
    <t>P. An Thới</t>
  </si>
  <si>
    <t xml:space="preserve"> 1046/QĐ-UBND ngày 29/3/2024</t>
  </si>
  <si>
    <t>Nâng cấp, mở rộng hẻm 108 đường Trần Quang Diệu, phường An Thới, quận Bình Thủy</t>
  </si>
  <si>
    <t>4580/QĐ-UBND ngày 16/12/2024</t>
  </si>
  <si>
    <t>Nâng cấp, mở rộng cầu Bông Vang, phường Long Tuyền</t>
  </si>
  <si>
    <t>P. Long Tuyền</t>
  </si>
  <si>
    <t>4579/QĐ-UBND ngày 16/12/2024</t>
  </si>
  <si>
    <t>Kè chống sạt lở đoạn từ rạch Cầu Đá đến sông Khai Luông, phường Bùi Hữu Nghĩa</t>
  </si>
  <si>
    <t>P. Bùi Hữu Nghĩa</t>
  </si>
  <si>
    <t>4568/QĐ-UBND ngày 13/12/2024</t>
  </si>
  <si>
    <t>Kho Lưu trữ và Bộ phận Tiếp nhận và Trả kết quả quận Bình Thủy</t>
  </si>
  <si>
    <t>4577/QĐ-UBND ngày 16/12/2024</t>
  </si>
  <si>
    <t>Nâng cấp, sửa chữa Trụ sở các ban ngành phường và quận thuộc quận Bình Thủy năm 2025</t>
  </si>
  <si>
    <t>4576/QĐ-UBND ngày 16/12/2024</t>
  </si>
  <si>
    <t>Đầu tư trang thiết bị màn hình LED phục vụ hoạt động của Quận ủy và Ủy ban nhân dân quận</t>
  </si>
  <si>
    <t>4567/QĐ-UBND ngày 12/12/2024</t>
  </si>
  <si>
    <t>Xây dựng nhà ở Trung đội Dân quân thường trực trong doanh trại Sở Chỉ huy Ban Chỉ huy quân sự quận Bình Thủy, phường Long Hòa, quận Bình Thủy.</t>
  </si>
  <si>
    <t>phường Long Hòa</t>
  </si>
  <si>
    <t>4566/QĐ-UBND ngày 12/12/2024</t>
  </si>
  <si>
    <t>Đồ án Quy hoạch phân khu tỷ lệ 1/2000 khu đô thị mới đường Võ Văn Kiệt quận Bình Thủy</t>
  </si>
  <si>
    <t>2025-2027</t>
  </si>
  <si>
    <t xml:space="preserve"> 2495/QĐ-UBND ngày 08/11/2024</t>
  </si>
  <si>
    <t>Cấp vốn ủy thác cho Phòng giao dịch ngân hàng chính sách xã hội quận Bình Thủy giai đoạn 2024-2025</t>
  </si>
  <si>
    <t>4320/QĐ-UBND ngày 02/12/2024</t>
  </si>
  <si>
    <t>Ban Quản lý dự án đầu tư xây dựng khu vực Cái Răng.</t>
  </si>
  <si>
    <t>Xây dựng mới khối phòng học trường Tiểu học Ba Láng</t>
  </si>
  <si>
    <t>Phường Ba Láng</t>
  </si>
  <si>
    <t>261/QĐ-UBND 26/01/2022</t>
  </si>
  <si>
    <t>Xây dựng mới Trường Trung học cơ sở Tân Phú</t>
  </si>
  <si>
    <t>Phường Tân Phú</t>
  </si>
  <si>
    <t>3984/QĐ-UBND 16/12/2022</t>
  </si>
  <si>
    <t>Mua sắm thiết bị dạy học tối thiểu cấp Tiểu học và cấp Trung học cơ sở trên địa bàn quận Cái Răng</t>
  </si>
  <si>
    <t>Quận Cái Răng</t>
  </si>
  <si>
    <t>3985/QĐ-UBND 16/12/2022</t>
  </si>
  <si>
    <t>Xây dựng mới Trường mầm non Hưng Phú</t>
  </si>
  <si>
    <t>Phường Hưng Phú</t>
  </si>
  <si>
    <t>4766/QĐ-UBND 13/12/2023</t>
  </si>
  <si>
    <t>Xây dựng mới phòng học, các hạng mục phụ trợ và cải tạo khuôn viên trường tiểu học Tân Phú</t>
  </si>
  <si>
    <t>677/QĐ-UBND
13/3/2025</t>
  </si>
  <si>
    <t>Xây dựng mới phòng học, các hạng mục phụ trợ và cải tạo khuôn viên trường tiểu học Trần Hoàng Na</t>
  </si>
  <si>
    <t>Phường Hưng Thạnh</t>
  </si>
  <si>
    <t>2687/QĐ-UBND
 11/11/2024</t>
  </si>
  <si>
    <t>Xây dựng mới phòng học, các hạng mục phụ trợ và cải tạo khuôn viên trường tiểu học Phú Thứ 1</t>
  </si>
  <si>
    <t>Phường Phú Thứ</t>
  </si>
  <si>
    <t>2731/QĐ-UBND 12/11/2024</t>
  </si>
  <si>
    <t>Xây dựng mới trường Mầm non Tân Phú</t>
  </si>
  <si>
    <t>560/QĐ-UBND
03/3/2025</t>
  </si>
  <si>
    <t>Sửa chữa cơ sở vật chất Trường mẫu giáo Ba Láng</t>
  </si>
  <si>
    <t>1968/QĐ-UBND 11/9/2024</t>
  </si>
  <si>
    <t>Mua sắm bàn, ghế phục vụ dạy và học của các trường trên địa bàn quận Cái Răng</t>
  </si>
  <si>
    <t>Quận  Cái Răng</t>
  </si>
  <si>
    <t>2650/QĐ-UBND 06/11/2024</t>
  </si>
  <si>
    <t>Trạm Y tế phường Lê Bình, hạng mục: Sửa chữa và xây dựng mới 02 dãy phòng khám bệnh</t>
  </si>
  <si>
    <t>Phường Lê Bình</t>
  </si>
  <si>
    <t>3296/QĐ-UBND 14/11/2022</t>
  </si>
  <si>
    <t>Xây dựng mới trạm y tế phường Tân Phú</t>
  </si>
  <si>
    <t>3348/QĐ-UBND 17/11/2022</t>
  </si>
  <si>
    <t>Đầu tư trang thiết bị kỹ thuật số hóa phục vụ nâng cao hoạt động của Hội đồng nhân dân Quận, Phường</t>
  </si>
  <si>
    <t>3342/QĐ-UBND 26/07/2023</t>
  </si>
  <si>
    <t>Nâng cấp, mở rộng tuyến lộ từ cầu Cái Nai đến nhà ông Mười Bạn</t>
  </si>
  <si>
    <t>5649/QĐ-UBND 14/12/2021</t>
  </si>
  <si>
    <t>Nâng cấp tuyến lộ rạch Cây Tràm</t>
  </si>
  <si>
    <t>1942/QĐ-UBND 28/7/2022</t>
  </si>
  <si>
    <t>Nâng cấp, mở rộng tuyến lộ từ cầu Xẻo Lá đến cầu Ngã Bát</t>
  </si>
  <si>
    <t>3983/QĐ-UBND 16/12/2022</t>
  </si>
  <si>
    <t>Nâng cấp, mở rộng tuyến rạch Bà Vèn (2 bên)</t>
  </si>
  <si>
    <t>Phường Thường Thạnh</t>
  </si>
  <si>
    <t>4765/QĐ-UBND 13/12/2023</t>
  </si>
  <si>
    <t>Nâng cấp, mở rộng tuyến lộ đoạn từ cầu Bến Bạ đến cầu Ba Dầu</t>
  </si>
  <si>
    <t>2373/QĐ-UBND 5/9/2022; 1303/QĐ-UBND 5/6/2024</t>
  </si>
  <si>
    <t>Nâng cấp, mở rộng tuyến lộ Đoạn từ cầu Mật Cật đến ngọn Mật Cật (Bờ phải tính từ rạch Xẻo Lá)</t>
  </si>
  <si>
    <t>4531/QĐ-UBND 24/11/2023</t>
  </si>
  <si>
    <t>Nâng cấp, mở rộng Đoạn từ nhà Văn hóa KV Phú Khánh đến cầu Xẻo Lá</t>
  </si>
  <si>
    <t>4532/QĐ-UBND 24/11/2023</t>
  </si>
  <si>
    <t xml:space="preserve">Nâng cấp Tuyến lộ cặp sông Ấp Mỹ </t>
  </si>
  <si>
    <t>Phường Thường  Thạnh</t>
  </si>
  <si>
    <t>4530/QĐ-UBND 24/11/2023</t>
  </si>
  <si>
    <t>Nâng cấp, mở rộng tuyến lộ cặp sông Cái Răng Bé đoạn từ trường THPT Nguyễn Việt Dũng đến Chợ Cái Chanh</t>
  </si>
  <si>
    <t>Phường Lê Bình- Thường Thạnh</t>
  </si>
  <si>
    <t>1522/QĐ-UBND  08/7/2024
277/QĐ-BQLDA&amp;PTQĐ  11/11/2024</t>
  </si>
  <si>
    <t>Nâng cấp mở rộng đường Nguyễn Việt Dũng</t>
  </si>
  <si>
    <t>2024-2027</t>
  </si>
  <si>
    <t>2040/QĐ-UBND 17/9/2024</t>
  </si>
  <si>
    <t>Xây dựng mới 05 cầu tuyến đường Trương Vĩnh Nguyên</t>
  </si>
  <si>
    <t>2039/QĐ-UBND 17/9/2024</t>
  </si>
  <si>
    <t>Nâng cấp nhánh phải tuyến đường số 1A - Khu Công nghiệp Hưng phú 1</t>
  </si>
  <si>
    <t>4328/QĐ-UBND 30/10/2020</t>
  </si>
  <si>
    <t>Xây dựng mới bộ phận tiếp nhận và trả kết quả UBND phường Lê Bình, Thường Thạnh</t>
  </si>
  <si>
    <t>Phường Lê Bình - Phường Thường Thạnh</t>
  </si>
  <si>
    <t>4311/QĐ-UBND 30/10/2020</t>
  </si>
  <si>
    <t>Xây dựng mới Hội trường trung tâm Khu Chính trị - Hành chính tập trung quận Cái Răng (400 chỗ, sân đường, PCCC và các hạng mục phụ trợ, thiết bị)</t>
  </si>
  <si>
    <t>5381/QĐ-UBND 31/12/2020 và 3822/QĐ-UBND 6/10/2021</t>
  </si>
  <si>
    <t>Nâng cấp hạ tầng khu dân cư Khu vực Yên Hạ</t>
  </si>
  <si>
    <t>1810/QĐ-UBND 11/7/2022</t>
  </si>
  <si>
    <t>Xây dựng mới trụ sở Quận ủy, các ban xây dựng Đảng Quận ủy và các tổ chức chính trị - xã hội, xã hội nghề nghiệp</t>
  </si>
  <si>
    <t xml:space="preserve">2911/QĐ-UBND 26/10/2022 và QĐ 69/QĐ-BQLDA&amp;PTQĐ 8/5/2023 </t>
  </si>
  <si>
    <t>Trang bị hệ thống âm thanh cho hội trường các Phường</t>
  </si>
  <si>
    <t>Trụ sở Đảng ủy và UBND, Hội trường các phường. Hạng mục: Sửa chữa và  xây dựng mới một số hạng mục</t>
  </si>
  <si>
    <t>4763/QĐ-UBND 13/12/2023</t>
  </si>
  <si>
    <t>Xây dựng mới cầu tàu chợ nổi và các hạng mục liên quan</t>
  </si>
  <si>
    <t>2792/QĐ-UBND 17/10/2022 và 388/QĐ-QLĐT 30/3/2023</t>
  </si>
  <si>
    <t>Xây dựng mới Trụ sở phường Tân Phú</t>
  </si>
  <si>
    <t>1486/QĐ-UBND 04/7/2024</t>
  </si>
  <si>
    <t>Mua sắm bàn, ghế phục vụ cho hoạt động của Hội trường trung tâm Khu chính trị - Hành chính tập trung quận Cái Răng</t>
  </si>
  <si>
    <t>1953/QĐ-UBND 10/9/2024</t>
  </si>
  <si>
    <t>Nâng cấp, sửa chữa trụ sở Công an các phường</t>
  </si>
  <si>
    <t>4314/QĐ-UBND 30/10/2020</t>
  </si>
  <si>
    <t>Xây dựng nhà ăn đại biểu cho Ban Chỉ huy Quân sự quận Cái Răng</t>
  </si>
  <si>
    <t>1967/QĐ-UBND 11/9/2024</t>
  </si>
  <si>
    <t>Cải tạo, sửa chữa Khán đài và khu vệ sinh phục vụ công tác tuyển quân, Nhà truyền thống tại Ban chỉ huy quân sự quận</t>
  </si>
  <si>
    <t>3631/QĐ-BCH 08/11/2024</t>
  </si>
  <si>
    <t>Cải tạo, sửa chữa Kho vũ khí, đạn tại Ban chỉ huy quân sự quận</t>
  </si>
  <si>
    <t>3632/QĐ-BCH 08/11/2024</t>
  </si>
  <si>
    <t>Ban Quản lý dự án đầu tư xây dựng khu vực Ô Môn.</t>
  </si>
  <si>
    <t>Nâng cấp tuyến đường Cống Ông Tà</t>
  </si>
  <si>
    <t>P. Thới Hòa</t>
  </si>
  <si>
    <t>2026-2028</t>
  </si>
  <si>
    <t>16/QĐ-QLDA, ngày 07/02/2025</t>
  </si>
  <si>
    <t xml:space="preserve">Nâng cấp mở rộng tuyến đường  từ cầu Rạch Vàm đến cầu rạch Bà Quý </t>
  </si>
  <si>
    <t>P. Thới An</t>
  </si>
  <si>
    <t>17/QĐ-QLDA, ngày 07/02/2025</t>
  </si>
  <si>
    <t>Tuyến đường Kinh Mới - Trạm bơm</t>
  </si>
  <si>
    <t>P. Long Hưng</t>
  </si>
  <si>
    <t>22/QĐ-QLDA, ngày 07/02/2025</t>
  </si>
  <si>
    <t>Nâng cấp, mở rộng tuyến đường từ Cầu Bù Lu đến  phường Thới An</t>
  </si>
  <si>
    <t>P. Thới Long</t>
  </si>
  <si>
    <t>24/QĐ-QLDA, ngày 07/02/2025</t>
  </si>
  <si>
    <t>Nâng cấp, mở rộng tuyến đường từ cầu Ông Hiền đến giáp phường Long Hưng</t>
  </si>
  <si>
    <t>25/QĐ-QLDA, ngày 07/02/2025</t>
  </si>
  <si>
    <t>Tuyến đường Rạch Gập</t>
  </si>
  <si>
    <t>P. Trường Lạc</t>
  </si>
  <si>
    <t>35/QĐ-QLDA, ngày 13/02/2025</t>
  </si>
  <si>
    <t xml:space="preserve">Nâng cấp tuyến đường Đất Sét – Kinh Ngang </t>
  </si>
  <si>
    <t>43/QĐ-QLDA, ngày 13/02/2025</t>
  </si>
  <si>
    <t xml:space="preserve">Nâng cấp mở rộng tuyến đường liên phường từ khu vực Thới Lợi (P. Thới An) đến cầu rạch Chanh (P. Phước Thới) </t>
  </si>
  <si>
    <t>P. Phước Thới</t>
  </si>
  <si>
    <t>44/QĐ-QLDA, ngày 13/02/2025</t>
  </si>
  <si>
    <t>Nâng cấp mở rộng tuyến đường liên khu vực Thới Bình - Thới Ngươn A</t>
  </si>
  <si>
    <t>45/QĐ-QLDA, ngày 13/02/2025</t>
  </si>
  <si>
    <t>Xây dựng cầu điểm nhà ông Lê Ngọc Ẩn</t>
  </si>
  <si>
    <t>47/QĐ-QLDA, ngày 13/02/2025</t>
  </si>
  <si>
    <t>Nâng cấp, mở rộng tuyến đường Trần Hưng Đạo (đoạn từ Cầu Quận Đội đến QL91)</t>
  </si>
  <si>
    <t>P. CVL</t>
  </si>
  <si>
    <t>2026-2029</t>
  </si>
  <si>
    <t>48/QĐ-QLDA, ngày 13/02/2025</t>
  </si>
  <si>
    <t>Nâng cấp, sửa chữa Trường Mẫu giáo Long Hưng 2</t>
  </si>
  <si>
    <t>51/QĐ-QLDA, ngày 13/02/2025</t>
  </si>
  <si>
    <t>Nâng cấp, sửa chữa Trường Tiểu học Võ Thị Sáu</t>
  </si>
  <si>
    <t>52/QĐ-QLDA, ngày 13/02/2025</t>
  </si>
  <si>
    <t>Nâng cấp, sửa chữa Trường Tiểu học Phan Bội Châu</t>
  </si>
  <si>
    <t>53/QĐ-QLDA, ngày 13/02/2025</t>
  </si>
  <si>
    <t>Nâng cấp, sửa chữa Trường Mầm non Sen Hồng</t>
  </si>
  <si>
    <t>54/QĐ-QLDA, ngày 13/02/2025</t>
  </si>
  <si>
    <t>Nâng cấp, sửa chữa Trường Mầm non Thới Long</t>
  </si>
  <si>
    <t>55/QĐ-QLDA, ngày 13/02/2025</t>
  </si>
  <si>
    <t>Nâng cấp, sửa chữa  Trường Mầm non Thới An</t>
  </si>
  <si>
    <t>56/QĐ-QLDA, ngày 13/02/2025</t>
  </si>
  <si>
    <t>Nâng cấp, sửa chữa Trường Tiểu học Nguyễn Hữu Cảnh</t>
  </si>
  <si>
    <t>57/QĐ-QLDA, ngày 13/02/2025</t>
  </si>
  <si>
    <t>Nâng cấp, sửa chữa Trường Tiểu học Cao Bá Quát</t>
  </si>
  <si>
    <t>58/QĐ-QLDA, ngày 13/02/2025</t>
  </si>
  <si>
    <t>Nâng cấp, sửa chữa trường Tiểu học Trương Định</t>
  </si>
  <si>
    <t>59/QĐ-QLDA, ngày 13/02/2025</t>
  </si>
  <si>
    <t>Nâng cấp, sửa chữa Trường Tiểu học Nguyễn Việt Hồng</t>
  </si>
  <si>
    <t>60/QĐ-QLDA, ngày 13/02/2025</t>
  </si>
  <si>
    <t>Xây dựng trạm trung chuyển chất thải rắn sinh hoạt quận Ô Môn</t>
  </si>
  <si>
    <t>64/QĐ-QLDA, ngày 13/02/2025</t>
  </si>
  <si>
    <t>Xây dựng Khu tái định cư phường Thới An</t>
  </si>
  <si>
    <t>50/QĐ-QLDA, ngày 13/02/2025</t>
  </si>
  <si>
    <t>Nhà máy xử lý chất thải rắn tập trung tại phường Phước Thới và Thới An quận Ô Môn, thành phố Cần Thơ giai đoạn 1</t>
  </si>
  <si>
    <t>P. Phước Thới - Thới An</t>
  </si>
  <si>
    <t>2452/QĐ-UBND, ngày 11/10/2019</t>
  </si>
  <si>
    <t>Bồi thường, hỗ trợ và tái định cư Khu xử lý chất thải rắn Ô Môn (Nhà máy xử lý chất thải rắn tập trung tại phường Phước Thới, phường Thới An, quận Ô Môn, thành phố Cần Thơ)</t>
  </si>
  <si>
    <t>2015-2021</t>
  </si>
  <si>
    <t>1834/QĐ-UBND, ngày 25/6/2015</t>
  </si>
  <si>
    <t>Nâng cấp mở rộng tuyến đường Thái Thị Hạnh</t>
  </si>
  <si>
    <t xml:space="preserve"> P. Long Hưng - P. Thới Long</t>
  </si>
  <si>
    <t xml:space="preserve">3683/QĐ-UBND, ngày 28/3/2022 </t>
  </si>
  <si>
    <t>Nâng cấp, mở rộng tuyến đường Mương Khai</t>
  </si>
  <si>
    <t>12053/QĐ-UBND, ngày 28/12/2023</t>
  </si>
  <si>
    <t>Nâng cấp, mở rộng tuyến đường Long Định- Long Thành- Thới Hưng</t>
  </si>
  <si>
    <t>12049/QĐ-UBND, ngày 28/12/2023</t>
  </si>
  <si>
    <t>Nâng cấp, mở rộng tuyến đường từ Vàm Cả Đâu giáp phường Thới Long</t>
  </si>
  <si>
    <t>12050/QĐ-UBND, ngày 28/12/2023</t>
  </si>
  <si>
    <t>Nâng cấp, mở rộng tuyến đường từ chợ Thới Long đến chùa Bà</t>
  </si>
  <si>
    <t>12051/QĐ-UBND, ngày 28/12/2023</t>
  </si>
  <si>
    <t>Nâng cấp, mở rộng tuyến đường từ Kinh Ống đến Mười Đông</t>
  </si>
  <si>
    <t>12052/QĐ-UBND, ngày 28/12/2023</t>
  </si>
  <si>
    <t>Tuyến đường Ngã Cạy - Ông Xì</t>
  </si>
  <si>
    <t>7557/QĐ-UBND, ngày 22/12/2022</t>
  </si>
  <si>
    <t>Tuyến đường Mương Bố đến Hợp tác xã Sầu riêng</t>
  </si>
  <si>
    <t>7555/QĐ-UBND, ngày 22/12/2022</t>
  </si>
  <si>
    <t>Nâng cấp đường dẫn vào các cầu trên phường Thới Hòa - Long Hưng và xây dựng cầu Rạch Phê</t>
  </si>
  <si>
    <t>P. Thới Hòa - Long Hưng</t>
  </si>
  <si>
    <t>12047/QĐ-UBND, ngày 28/12/2023</t>
  </si>
  <si>
    <t>Xây dựng cầu Ba Se</t>
  </si>
  <si>
    <t>12048/QĐ-UBND, ngày 28/12/2023</t>
  </si>
  <si>
    <t>Nâng cấp tuyến đường Châu Văn Liêm</t>
  </si>
  <si>
    <t>1949/QĐ-UBND, ngày 09/5/2024</t>
  </si>
  <si>
    <t>Tuyến đường liên Phường Châu Văn Liêm - Phước Thới</t>
  </si>
  <si>
    <t>P. CVL - Phước Thới</t>
  </si>
  <si>
    <t>1857/QĐ-UBND, ngày 10/4/2025</t>
  </si>
  <si>
    <t>Tuyến Kênh Mới - Vành Đai - Năm Kỵ</t>
  </si>
  <si>
    <t>1850/QĐ-UBND, ngày 09/4/2025</t>
  </si>
  <si>
    <t>Nâng cấp, mở rộng tuyến nhánh đường Lê Lợi</t>
  </si>
  <si>
    <t>1954/QĐ-UBND, ngày 09/5/2024</t>
  </si>
  <si>
    <t>Xây dựng cầu chợ Thới Long</t>
  </si>
  <si>
    <t>1955/QĐ-UBND, ngày 09/5/2024</t>
  </si>
  <si>
    <t>Nâng cấp, mở rộng tuyến đường Út Sắt - Ngã ba Đình giáp Bình Hòa A</t>
  </si>
  <si>
    <t>267/QĐ-UBND, ngày 15/01/2025</t>
  </si>
  <si>
    <t>Tuyến đường giao thông liên khu vực Bình Hòa - Bình Thuận</t>
  </si>
  <si>
    <t>268/QĐ-UBND, ngày 15/01/2025</t>
  </si>
  <si>
    <t>Nâng cấp, mở rộng tuyến đường rạch Mương Bông</t>
  </si>
  <si>
    <t>270/QĐ-UBND, ngày 15/01/2025</t>
  </si>
  <si>
    <t>Nâng cấp, mở rộng tuyến đường rạch Xẻo Nổ</t>
  </si>
  <si>
    <t>269/QĐ-UBND, ngày 15/01/2025</t>
  </si>
  <si>
    <t>Tuyến đường kinh Ấp Chiến Lược</t>
  </si>
  <si>
    <t>3166/QĐ-UBND, ngày 13/6/2025</t>
  </si>
  <si>
    <t>Nâng cấp mở rộng tuyến đường rạch Xẻo Nổ đoạn từ nhà ông Hai Sút đến cầu Xẻo Nổ</t>
  </si>
  <si>
    <t>3169/QĐ-UBND, ngày 13/6/2025</t>
  </si>
  <si>
    <t>Tuyến đường rạch Ông Chủ</t>
  </si>
  <si>
    <t>3170/QĐ-UBND, ngày 13/6/2025</t>
  </si>
  <si>
    <t>Nâng cấp tuyến đường từ  Rạch Đùng đến cầu Hội Quán</t>
  </si>
  <si>
    <t>3167/QĐ-UBND, ngày 13/6/2025</t>
  </si>
  <si>
    <t>Nâng cấp  tuyến đường từ Khu dân cư 74 đến đường tỉnh 922</t>
  </si>
  <si>
    <t>3165/QĐ-UBND, ngày 13/6/2025</t>
  </si>
  <si>
    <t xml:space="preserve">Nâng cấp mở rộng tuyến đường liên phường Phước Thới - Trà Nóc </t>
  </si>
  <si>
    <t>3168/QĐ-UBND, ngày 13/6/2025</t>
  </si>
  <si>
    <t xml:space="preserve">Nâng cấp, sữa chữa Trạm y tế phường Phước Thới </t>
  </si>
  <si>
    <t>12054/QĐ-UBND, ngày 28/12/2023</t>
  </si>
  <si>
    <t>Nâng cấp, sửa chữa Trạm Y tế phường Thới Long</t>
  </si>
  <si>
    <t>12055/QĐ-UBND, ngày 28/12/2023</t>
  </si>
  <si>
    <t>Nâng cấp, sửa chữa trụ sở Trung tâm y tế quận Ô Môn; Hạng mục:Cải tạo hệ thống PCCC và hệ thống xử lý nước</t>
  </si>
  <si>
    <t>P. Châu Văn Liêm</t>
  </si>
  <si>
    <t>10621/QĐ-UBND, ngày 03/11/2023</t>
  </si>
  <si>
    <t xml:space="preserve"> Nâng cấp sửa chữa Bệnh viện Đa khoa Ô Môn; Hạng mục: Khoa Phụ sản - Khoa Hồi sức tích cực - chống độc</t>
  </si>
  <si>
    <t>10622/QĐ-UBND, ngày 03/11/2023</t>
  </si>
  <si>
    <t>Sửa chữa Trạm y tế phường Trường Lạc</t>
  </si>
  <si>
    <t>1848/QĐ-UBND, ngày 09/4/2025</t>
  </si>
  <si>
    <t>Sửa chữa Trạm y tế phường Thới An</t>
  </si>
  <si>
    <t>1849/QĐ-UBND, ngày 09/4/2025</t>
  </si>
  <si>
    <t>Nâng cấp, sửa chữa Bệnh viện Đa khoa quận Ô Môn</t>
  </si>
  <si>
    <t>3155/QĐ-UBND, ngày 11/6/2025</t>
  </si>
  <si>
    <t>Trường Tiểu học Trần Hưng Đạo</t>
  </si>
  <si>
    <t>7519/QĐ-UBND, ngày 21/12/2022</t>
  </si>
  <si>
    <t>Trường Mẫu giáo Long Hưng</t>
  </si>
  <si>
    <t>7604/QĐ-UBND, ngày 26/12/2022</t>
  </si>
  <si>
    <t>Trường Tiểu học Long Hưng</t>
  </si>
  <si>
    <t>7767/QĐ-UBND, ngày 30/12/2022</t>
  </si>
  <si>
    <t>Trường Tiểu học Nguyễn Huệ</t>
  </si>
  <si>
    <t>Trường Mầm non Phước Thới</t>
  </si>
  <si>
    <t>7138/QĐ-UBND, ngày 26/7/2021</t>
  </si>
  <si>
    <t>Trường Tiểu học Nguyễn Du</t>
  </si>
  <si>
    <t>7768/QĐ-UBND, ngày 30/12/2022</t>
  </si>
  <si>
    <t>Trường Trung học cơ sở Thới Hòa</t>
  </si>
  <si>
    <t>7520/QĐ-UBND, ngày 21/12/2022</t>
  </si>
  <si>
    <t>Trường Tiểu học Trần Phú</t>
  </si>
  <si>
    <t>7131/QĐ-UBND, ngày 26/7/2021</t>
  </si>
  <si>
    <t>Trường Mầm non Anh Đào (giai đoạn 2)</t>
  </si>
  <si>
    <t>7521/QĐ-UBND, ngày 21/12/2022</t>
  </si>
  <si>
    <t>Trường Mẫu giáo Trường Lạc (giai đoạn 2)</t>
  </si>
  <si>
    <t>7522/QĐ-UBND, ngày 21/12/2022</t>
  </si>
  <si>
    <t>Trường Tiểu học Trưng Vương (điểm Đình, giai đoạn 2)</t>
  </si>
  <si>
    <t>7601/QĐ-UBND, ngày 26/12/2022</t>
  </si>
  <si>
    <t>Mua sắm thiết bị dạy học tối thiểu, đối với lớp 5, lớp 9</t>
  </si>
  <si>
    <t>7128/QĐ-UBND, ngày 26/7/2021</t>
  </si>
  <si>
    <t>Trường TH Trưng Vương (điểm Cây me)</t>
  </si>
  <si>
    <t>10623/QĐ-UBND, ngày 03/11/2023</t>
  </si>
  <si>
    <t>Cải tạo hệ thống PCCC Trường Tiểu học Nguyễn Hiền</t>
  </si>
  <si>
    <t>1956/QĐ-UBND, ngày 09/5/2024</t>
  </si>
  <si>
    <t>Trường Tiểu học Nguyễn Huệ (Giai đoạn 1)</t>
  </si>
  <si>
    <t>1958/QĐ-UBND, ngày 09/5/2024</t>
  </si>
  <si>
    <t>Trường Trung học cơ sở Thới Long</t>
  </si>
  <si>
    <t>1957/QĐ-UBND, ngày 09/5/2024</t>
  </si>
  <si>
    <t>Chuyển đổi số trong quản lý Giáo dục và Đào tạo quận Ô Môn</t>
  </si>
  <si>
    <t>Q. Ô Môn</t>
  </si>
  <si>
    <t>2032/QĐ-UBND, ngày 16/5/2024</t>
  </si>
  <si>
    <t>Xây dựng trung tâm hội nghị quận Ô Môn</t>
  </si>
  <si>
    <t>4609/QĐ-UBND, ngày 08/10/2024</t>
  </si>
  <si>
    <t>Nâng cấp, sửa chữa Khu hành chính phường Châu Văn Liêm</t>
  </si>
  <si>
    <t>7517/QĐ-UBND, ngày 21/12/2022</t>
  </si>
  <si>
    <t>Xây dựng nhà văn hóa khu vực 5</t>
  </si>
  <si>
    <t>3302/QĐ-UBND, ngày 07/6/2022</t>
  </si>
  <si>
    <t>Nâng cấp sửa chữa trung tâm văn hóa phường Thới An</t>
  </si>
  <si>
    <t>10624/QĐ-UBND, ngày 03/11/2023</t>
  </si>
  <si>
    <t>Nâng cấp sửa chữa trung tâm văn hóa  phường Thới Hòa</t>
  </si>
  <si>
    <t>10625/QĐ-UBND, ngày 03/11/2023</t>
  </si>
  <si>
    <t>Nâng cấp sửa chữa trung tâm văn hóa Phường Châu Văn Liêm (Quận đoàn cũ)</t>
  </si>
  <si>
    <t>10628/QĐ-UBND, ngày 29/12/2023</t>
  </si>
  <si>
    <t>Nâng cấp, sửa chữa Ban chỉ huy quân sự quận Ô Môn</t>
  </si>
  <si>
    <t>7593/QĐ-UBND, ngày 26/12/2022</t>
  </si>
  <si>
    <t>Phát triển hệ thống thông tin cơ sở ứng dụng Công nghệ thông tin - Viễn thông (GĐ1)</t>
  </si>
  <si>
    <t>Quận Ô Môn</t>
  </si>
  <si>
    <t>10629/QĐ-UBND, ngày 03/11/2023</t>
  </si>
  <si>
    <t>Phát triển hệ thống thông tin cơ sở ứng dụng Công nghệ thông tin - Viễn thông (Giai đoạn 2)</t>
  </si>
  <si>
    <t>1962/QĐ-UBND, ngày 09/5/2024</t>
  </si>
  <si>
    <t>Chương trình cấp vốn ủy thác cho Phòng giao dịch Ngân hàng chính sách xã hội quận Ô Môn năm 2025</t>
  </si>
  <si>
    <t>1910/QĐ-UBND, ngày 07/5/2024</t>
  </si>
  <si>
    <t>Đồ án Quy hoạch phân khu tỷ lệ 1/2000 khu đô thị mới Ô Môn</t>
  </si>
  <si>
    <t>2524/QĐ-UBND, ngày 12/11/2024</t>
  </si>
  <si>
    <t>Đô án Quy hoạch phân khu tỷ lệ 1/2000 Khu đô thị mới phường Châu Văn Liêm, Phước Thới và Thới An</t>
  </si>
  <si>
    <t>Phường CVL, Phước Thới và Thới An</t>
  </si>
  <si>
    <t>2525/QĐ-UBND, ngày 12/11/2024</t>
  </si>
  <si>
    <t>Đồ án Quy hoạch phân khu tỷ lệ 1/2000 Khu đô thị mới phường Phước Thới</t>
  </si>
  <si>
    <t>2526/QĐ-UBND, ngày 12/11/2024</t>
  </si>
  <si>
    <t>Lắp đặt hệ thống AI camera quốc lộ 91 đoạn từ khu hành chính UBND quận đến ngã tư đèn giao thông</t>
  </si>
  <si>
    <t>P. Châu V Liêm</t>
  </si>
  <si>
    <t>2342/QĐ-UBND, ngày 08/5/2025</t>
  </si>
  <si>
    <t>Lắp đặt hệ thống AI camera đường 26 tháng 3</t>
  </si>
  <si>
    <t>2343/QĐ-UBND, ngày 08/5/2025</t>
  </si>
  <si>
    <t>Lắp đặt hệ thống chiếu sáng công cộng tuyến đê báo Tắc Ông Thục</t>
  </si>
  <si>
    <t>2344/QĐ-UBND, ngày 08/5/2025</t>
  </si>
  <si>
    <t>Nâng cấp tuyến đường Trần Hưng Đạo (đoạn từ Cầu quận Đội cũ đến Nghĩa Trang Liệt sĩ quận)</t>
  </si>
  <si>
    <t>2345/QĐ-UBND, ngày 08/5/2025</t>
  </si>
  <si>
    <t>Nâng cấp tuyến từ Cầu Thủy lợi đến giáp đường Bệnh Viện Lao</t>
  </si>
  <si>
    <t>2346/QĐ-UBND, ngày 08/5/2025</t>
  </si>
  <si>
    <t>Lắp đặt đèn chiếu sáng các vị trí mất an toàn giao thông trên địa bàn quận</t>
  </si>
  <si>
    <t>2347/QĐ-UBND, ngày 08/5/2025</t>
  </si>
  <si>
    <t>Gia cố chống sạt lở khu vực 14 (đoạn gần cầu Tắc Ông Thục)</t>
  </si>
  <si>
    <t>2348/QĐ-UBND, ngày 08/5/2025</t>
  </si>
  <si>
    <t>Gia cố chống sạt lở khu vực Cái Sơn (tuyến kênh Lò Gạch)</t>
  </si>
  <si>
    <t>2349/QĐ-UBND, ngày 08/5/2025</t>
  </si>
  <si>
    <t>Gia cố chống sạt lở khu vực Phú Luông (Tuyến Cống Cây Điều)</t>
  </si>
  <si>
    <t>2350/QĐ-UBND, ngày 08/5/2025</t>
  </si>
  <si>
    <t>Gia cố chống sạt lở khu vực Hòa An A (tuyến rạch Ba Rích)</t>
  </si>
  <si>
    <t>2351/QĐ-UBND, ngày 08/5/2025</t>
  </si>
  <si>
    <t>Gia cố chống sạt lở khu vực Thới Đông (Trước nhà Ngô Văn Bé đến nhà Lý Anh Hoàng)</t>
  </si>
  <si>
    <t>2352/QĐ-UBND, ngày 08/5/2025</t>
  </si>
  <si>
    <t>Nạo vét kênh Cả Tắc - kênh tư Na - kênh 8 Chuông - kênh Đìa Gừa</t>
  </si>
  <si>
    <t>2353/QĐ-UBND, ngày 08/5/2025</t>
  </si>
  <si>
    <t>Nạo vét kênh Giữa - kênh Phèn -kênh Trệt nam - kênh Đòn Dông</t>
  </si>
  <si>
    <t>2354/QĐ-UBND, ngày 08/5/2025</t>
  </si>
  <si>
    <t>Mua sắm thiết bị phục vụ công tác giảng dạy và đồ chơi ngoài trời</t>
  </si>
  <si>
    <t>2355/QĐ-UBND, ngày 08/5/2025</t>
  </si>
  <si>
    <t>Mua sắm thiết bị dạy học tối thiểu trường mầm non</t>
  </si>
  <si>
    <t>2356/QĐ-UBND, ngày 08/5/2025</t>
  </si>
  <si>
    <t>Lắp đặt mới mái che sân trường các trường trên địa bàn quận</t>
  </si>
  <si>
    <t>2357/QĐ-UBND, ngày 08/5/2025</t>
  </si>
  <si>
    <t>Thay mới bạt mái che các điểm trường</t>
  </si>
  <si>
    <t>2358/QĐ-UBND, ngày 08/5/2025</t>
  </si>
  <si>
    <t>Ban Quản lý dự án đầu tư xây dựng khu vực Thốt Nốt.</t>
  </si>
  <si>
    <t>Quận Thốt Nốt</t>
  </si>
  <si>
    <t>Vốn quy hoạch, chuẩn bị đầu tư</t>
  </si>
  <si>
    <t>Vốn quy hoạch</t>
  </si>
  <si>
    <t>Quy hoạch phân khu tỷ lệ 1/2000 Khu đô thị mới, cảng, logistic</t>
  </si>
  <si>
    <t>Q,Thốt Nốt</t>
  </si>
  <si>
    <t>Quy hoạch phân khu tỷ lệ 1/2000 phân khu TN-02</t>
  </si>
  <si>
    <t>Quy hoạch phân khu tỷ lệ 1/2000 phân khu TN-03</t>
  </si>
  <si>
    <t>Quy hoạch phân khu tỷ lệ 1/2000 phân khu TN-05</t>
  </si>
  <si>
    <t>Cải tạo hệ thống chiếu sáng dọc Quốc lộ 91 (đoạn từ cấu Trà Uối đến ngã ba Lộ Tẻ)</t>
  </si>
  <si>
    <t>p.Thuận An- P.Thới Thuận</t>
  </si>
  <si>
    <t xml:space="preserve">Số: 108/QĐ-PKTHT&amp;ĐT ngày 02/04/2025 </t>
  </si>
  <si>
    <t>Nâng cấp, mở rộng tuyến đường rạch Mương Trầu; Tuyến Trà Cui trái (từ chợ Trà Cui - nhà bà Trịnh Thị Bích Thuận )</t>
  </si>
  <si>
    <t>P. Trung Kiên</t>
  </si>
  <si>
    <t>Số: 590/QĐ-BQLDA&amp;PTQĐ
ngày 22/04/2025</t>
  </si>
  <si>
    <t>Nâng cấp, mở rộng tuyến đường cặp sông Thốt Nốt (từ cầu Thốt Nốt 2 - cầu Rạch Sơn)</t>
  </si>
  <si>
    <t>Số: 586/QĐ-BQLDA&amp;PTQĐ
ngày 29/10/2024</t>
  </si>
  <si>
    <t>Nâng cấp, mở rộng tuyến rạch Mương Trâu (Nhánh trái từ nhà ông Lê Phước Tính - nhà ông Đồng Văn Trà; Nhánh phải từ nhà ông Lê Văn Hoài - nhà ông Lê Chí Tâm)</t>
  </si>
  <si>
    <t>Số: 587/QĐ-BQLDA&amp;PTQĐ
ngày 29/10/2024</t>
  </si>
  <si>
    <t>Nâng cấp tuyến Đường Xuồng nhánh trái (Từ nhà bà Phan Anh Diễm đến nhà ông Nguyễn Văn Mảng); tuyến Ngã Tắc nhánh phải (từ Cầu Ngã Ba Đình đến nhà ông Phan Hoàng Minh)</t>
  </si>
  <si>
    <t>P. Thới Thuận</t>
  </si>
  <si>
    <t>Số: 502/QĐ-BQLDA&amp;PTQĐ
ngày 14/04/2025</t>
  </si>
  <si>
    <t>Nâng cấp, mở rộng tuyến từ cầu Vườn Cau đến Vật liệu xây dựng Diệu Cường</t>
  </si>
  <si>
    <t>P. Tân Lộc</t>
  </si>
  <si>
    <t>Số: 566/QĐ-BQLDA&amp;PTQĐ ngày 18/4/2025</t>
  </si>
  <si>
    <t>Nâng cấp, mở rộng tuyến cầu ông Mỗng lớn - Cầu Xẻo Nhành</t>
  </si>
  <si>
    <t>P. Thuận Hưng</t>
  </si>
  <si>
    <t>Số: 564/QĐ-BQLDA&amp;PTQĐ ngày 18/4/2025</t>
  </si>
  <si>
    <t>Nâng cấp, mở rộng tuyến chợ Thuận Hưng - Cầu ông Mỗng lớn (từ nhà ông Huỳnh Công Thanh đến nhà ông Phạm Văn Sang)</t>
  </si>
  <si>
    <t>Số: 562/QĐ-BQLDA&amp;PTQĐ ngày 18/4/2025</t>
  </si>
  <si>
    <t>Nâng cấp, mở rộng tuyến cầu ông Mỗng lớn - Ngã ba Bắc Vàng</t>
  </si>
  <si>
    <t>Số: 563/QĐ-BQLDA&amp;PTQĐ ngày 18/4/2025</t>
  </si>
  <si>
    <t>Nâng cấp, mở rộng tuyến cầu An Phú Lợi - Cầu ông Mỗng nhỏ</t>
  </si>
  <si>
    <t>Nâng cấp, mở rộng tuyến đường Rạch Mương Bào (từ cầu Mương Bào - cầu Lộ Mới)</t>
  </si>
  <si>
    <t>P. Trung Nhứt</t>
  </si>
  <si>
    <t>Số: 511/QĐ-BQLDA&amp;PTQĐ ngày 14/4/2025</t>
  </si>
  <si>
    <t>Nâng cấp, mở rộng tuyến đường kinh Lộ Mới (từ cầu Ngã Cái - cầu Kênh Sườn 2)</t>
  </si>
  <si>
    <t>Số: 512/QĐ-BQLDA&amp;PTQĐ ngày 14/4/2025</t>
  </si>
  <si>
    <t>Nâng cấp, mở rộng tuyến đường Xẻo Cao (từ cầu Mương Bố - nhà bà Lê Thị Ba)</t>
  </si>
  <si>
    <t>P. Thạnh Hoà</t>
  </si>
  <si>
    <t>Số: 513/QĐ-BQLDA&amp;PTQĐ ngày 14/4/2025</t>
  </si>
  <si>
    <t>Nâng cấp, sửa chữa Trường Tiểu Học Thuận An</t>
  </si>
  <si>
    <t>P. Thuận An</t>
  </si>
  <si>
    <t>Số: 529/QĐ-BQLDA&amp;PTQĐ ngày 14/4/2025</t>
  </si>
  <si>
    <t>Nâng cấp, sửa chữa Trường Tiểu Học Trung Kiên 2</t>
  </si>
  <si>
    <t>Số: 530/QĐ-BQLDA&amp;PTQĐ ngày 14/4/2025</t>
  </si>
  <si>
    <t>Nâng cấp, sửa chữa Trường Tiểu Học Trung Kiên 3</t>
  </si>
  <si>
    <t>Số: 531/QĐ-BQLDA&amp;PTQĐ ngày 14/4/2025</t>
  </si>
  <si>
    <t>Nâng cấp, sửa chữa Trường Tiểu Học Thuận Hưng 3</t>
  </si>
  <si>
    <t>Số: 533/QĐ-BQLDA&amp;PTQĐ ngày 14/4/2025</t>
  </si>
  <si>
    <t>c</t>
  </si>
  <si>
    <t>Trường trung học cơ sở  Trung Nhứt</t>
  </si>
  <si>
    <t>P.Trung Nhứt</t>
  </si>
  <si>
    <t>2016 -2017</t>
  </si>
  <si>
    <t>Số 697, 28/3/2016</t>
  </si>
  <si>
    <t>Trường tiểu học Tân Lộc 5</t>
  </si>
  <si>
    <t>Số 2653, 26/10/2018</t>
  </si>
  <si>
    <t>Trường Trung học cơ sở phường Thốt Nốt</t>
  </si>
  <si>
    <t>P. Thốt Nốt</t>
  </si>
  <si>
    <t>2013-2017</t>
  </si>
  <si>
    <t>Số 3438/QĐ-UBND
Ngày 31/10/2013</t>
  </si>
  <si>
    <t>Bồi hoàn - san lắp mặt bằng - đường dẫn vào trường tiểu học Thuận Hưng 3 và trường mẫu giáo Thuận Hưng.</t>
  </si>
  <si>
    <t>Số 1395, 09/7/2014</t>
  </si>
  <si>
    <t>Trường Tiểu học Thới Thuận 2, quận Thốt Nốt, thành phố Cần Thơ</t>
  </si>
  <si>
    <t>P.Thới Thuận</t>
  </si>
  <si>
    <t>Số 2623/QĐ-UBND ngày 30/10/2019</t>
  </si>
  <si>
    <t xml:space="preserve">Trường mẫu giáo Thới Thuận </t>
  </si>
  <si>
    <t>Số 2671, 30/10/2018</t>
  </si>
  <si>
    <t>Trường Mẫu giáo Tân Lộc 1</t>
  </si>
  <si>
    <t>P Tân Lộc</t>
  </si>
  <si>
    <t>Số 3191/QĐ-UBND Ngày 27/10/2017</t>
  </si>
  <si>
    <t>Nhà văn hóa Phường Trung Nhứt</t>
  </si>
  <si>
    <t>7141/QĐ-UBND ngày 29/3/2016</t>
  </si>
  <si>
    <t>Di dời trụ en ten Đài truyền thanh quận</t>
  </si>
  <si>
    <t>Số 2382, 31/10/2019</t>
  </si>
  <si>
    <t>Sửa chữa trụ sở UBND phường Tân Lộc</t>
  </si>
  <si>
    <t>P.Tân Lộc</t>
  </si>
  <si>
    <t>Số 2374, 30/10/2019</t>
  </si>
  <si>
    <t>Sửa chữa Trung tâm bồi dưỡng chính trị quận</t>
  </si>
  <si>
    <t>Số 3198/QĐ-UBND Ngày 30/10/2017</t>
  </si>
  <si>
    <t>Sửa chữa Ban chỉ huy quân sự phường Thới Thuận</t>
  </si>
  <si>
    <t>2688/QĐ-UBND ngày 31/10/2018</t>
  </si>
  <si>
    <t>Ban chỉ huy quân sự quận Thốt Nốt, Hạng mục: Xây mới hội trường, nhà để xe ô tô và nâng cấp sửa chữa nhà ở sỉ quan, kho vũ khí</t>
  </si>
  <si>
    <t>Số 2662, 29/10/2018</t>
  </si>
  <si>
    <t xml:space="preserve">Sửa chữa trụ sở Công an các  phường </t>
  </si>
  <si>
    <t>Q.Thốt Nốt</t>
  </si>
  <si>
    <t>Số 2366, 29/10/2019</t>
  </si>
  <si>
    <t>Xây dựng trạm y tế phường Tân Lộc</t>
  </si>
  <si>
    <t>2015 - 2018</t>
  </si>
  <si>
    <t>2135/QĐ-UBND ngày 30/10/2014</t>
  </si>
  <si>
    <t>Cải tạo nâng cấp trạm y tế phường Thới Thuận</t>
  </si>
  <si>
    <t>2015-2018</t>
  </si>
  <si>
    <t>Số 531/QĐ-UBND
Ngày 23/02/2016</t>
  </si>
  <si>
    <t>Công trình khởi công mới</t>
  </si>
  <si>
    <t>Trường Mẫu giáo Thuận An,  HM: Sơn bê lại các dãy phòng hoc, phòng chức năng</t>
  </si>
  <si>
    <t>P.Thuận An</t>
  </si>
  <si>
    <t>Số 1322, 6/7/2021</t>
  </si>
  <si>
    <t>Trường Mầm non Tân Lộc, HM: Cải tạo, sơn  các dãy phòng học, phòng chức năng</t>
  </si>
  <si>
    <t>Số 1329, 26/7/2021</t>
  </si>
  <si>
    <t>Trường THCS Trung Kiên, HM: Sửa chữa nền các dãy phòng học</t>
  </si>
  <si>
    <t>P.Trung kiên</t>
  </si>
  <si>
    <t>Số 1305, 22/7/2021</t>
  </si>
  <si>
    <t>Trường Mẫu giáo Thuận Hưng 2,  HM: Sơn bê lại các dãy phòng hoc, phòng chức năng</t>
  </si>
  <si>
    <t>P.Thuận Hưng</t>
  </si>
  <si>
    <t>Số 1306, 22/7/2021</t>
  </si>
  <si>
    <t>Trường Tiểu học Thuận  An 1; HM: Xây mới 04 phòng, cổng-nhà bảo vệ, nhà xe, nhà vệ sinh, hệ thống PCCC; Cải tạo, sửa chữa các dãy phòng học cũ</t>
  </si>
  <si>
    <t>1336/QĐ-UBND, 26/07/2021</t>
  </si>
  <si>
    <t>Trường Tiểu học Thuận Hưng 1; Hạng mục: Xây mới 06 phòng học, các phòng chức năng và hạng mục phụ trợ</t>
  </si>
  <si>
    <t>Số 1332, 26/7/2021</t>
  </si>
  <si>
    <t>Trường Tiểu học Trung Nhứt 2, HM: Xây mới các phòng chức năng, hệ thống PCCC; cải tạo sửa chữa các dãy phòng học cũ</t>
  </si>
  <si>
    <t>P.Trung Nhứt</t>
  </si>
  <si>
    <t>Số 1272, 16/7/2021; 3406, 20/12/2022</t>
  </si>
  <si>
    <t>Trường THCS  Thới Thuận, HM:  cải tạo khối phòng học, phòng chức năng và nhà thi đấu đa năng.</t>
  </si>
  <si>
    <t xml:space="preserve"> 1334/QĐ-UBND, 26/07/2021</t>
  </si>
  <si>
    <t>Trang thiết bị phòng bộ môn, đóng mới bàn ghế cho học sinh và giáo viên (Giai đoạn 2)</t>
  </si>
  <si>
    <t>3305/QĐ-UBND ngày 30/11/2022</t>
  </si>
  <si>
    <t>Trường TH Tân Lộc 1, HM: Xây thêm các phòng chức năng, thiết bị</t>
  </si>
  <si>
    <t>Số 3420, 22/11/2022</t>
  </si>
  <si>
    <t>Trường Tiểu học Thuận  Hưng 2: HM: xây mới điểm Cái Sợp</t>
  </si>
  <si>
    <t>Số 2204, 161/8/2022</t>
  </si>
  <si>
    <t>Nâng cấp, sửa chữa Trung tâm giáo dục nghề nghiệp - giáo dục thường xuyên quận</t>
  </si>
  <si>
    <t>Số: 2105/QĐ-UBND
01/12/2023</t>
  </si>
  <si>
    <t>Trường THCS Tân Hưng</t>
  </si>
  <si>
    <t>P.Tân Hưng</t>
  </si>
  <si>
    <t>Số 1754, 29/6/2022</t>
  </si>
  <si>
    <t>Mua sắm trang thiết bị+SGK lớp 5+9</t>
  </si>
  <si>
    <t xml:space="preserve"> 1024/QĐ-UBND ngày
03/7/2024</t>
  </si>
  <si>
    <t>Trường Mẫu giáo Thạnh Hòa</t>
  </si>
  <si>
    <t>P.Thạnh Hòa</t>
  </si>
  <si>
    <t>Số 2397, 21/8/2022</t>
  </si>
  <si>
    <t>Trường Mầm non Thốt Nốt HM: Sơn bê lại các phòng học, phòng chức năng, trang bị PCCC</t>
  </si>
  <si>
    <t>Số: 2095/QĐ-UBND
ngày 30/11/2023</t>
  </si>
  <si>
    <t>Trường Tiểu học Tân Lộc 2; Hạng mục: Cải tạo, sơn bê các dãy phòng học, phòng chức năng; xây mới lại các phòng tiền chế, cải tạo sân; trang bị hệ thống PCCC</t>
  </si>
  <si>
    <t>Tân Lộc</t>
  </si>
  <si>
    <t>Số 1698/QĐ-UBND ngày 14/9/2023</t>
  </si>
  <si>
    <t>Trường Tiểu học Tân Lộc 4, HM: Xây mới 08 phòng học; trang bị hệ thống PCCC</t>
  </si>
  <si>
    <t xml:space="preserve"> 08/QĐ-UBND ngày
05/01/2023</t>
  </si>
  <si>
    <t>Trường Tiểu học Thốt Nốt 1, hạng mục: Xây mới thay thế dãy phòng học đã xuống cấp, trang bị hệ thống PCCC</t>
  </si>
  <si>
    <t>Số: 2104/QĐ-UBND
01/12/2023</t>
  </si>
  <si>
    <t>Nâng cấp, mở rộng Trường Tiểu học Tân Hưng</t>
  </si>
  <si>
    <t>882/QĐ-UBND, 13/6/2024</t>
  </si>
  <si>
    <t>Trường Tiểu học Thốt Nốt 2, hạng mục: Xây thêm 02 phòng học và các phòng chức năng; sửa chữa, nâng cấp các phòng học cũ; PCCC</t>
  </si>
  <si>
    <t>P.Thốt Nốt</t>
  </si>
  <si>
    <t>Số 1025/QĐ-UBND
ngày 03/7/2024</t>
  </si>
  <si>
    <t>Trường Tiểu Học Tân Lộc 3; Hạng mục: Xây mới thay thế dãy phòng học đã xuống cấp</t>
  </si>
  <si>
    <t>2024 - 2026</t>
  </si>
  <si>
    <t>Số 1765/QĐ-UBND, ngày 15/11/2024</t>
  </si>
  <si>
    <t>Trường Mẫu giáo Thới Thuận 1; Hạng mục: Sơn bê lại các dãy phòng học, Phòng chức năng</t>
  </si>
  <si>
    <t xml:space="preserve">  số 1327/QĐ-UBND, ngày 27/8/2024  </t>
  </si>
  <si>
    <t>Trường THCS Thuận Hưng; Hạng mục: Cải tạo dãy phòng học đã xuống cấp, Sơn bê toàn bộ các dãy phòng học, Phòng chức năng, Trang bị hệ thống PCCC</t>
  </si>
  <si>
    <t>2025 - 2027</t>
  </si>
  <si>
    <t>Số 1756/QĐ-UBND ngày 14/11/2024</t>
  </si>
  <si>
    <t>Trường THCS Trung Nhứt, HM: Cải tạo dãy phòng học đã xuống cấp, sơn bê toàn bộ các dãy phòng học, phòng chức năng</t>
  </si>
  <si>
    <t xml:space="preserve">Số: 566/QĐ-UBND ngày 14/04/2025 </t>
  </si>
  <si>
    <t>Trường THCS Thốt Nốt, HM: Cải tạo các dãy phòng học hiện hữu, xây mới các phòng học tập và phòng hỗ trợ học tập</t>
  </si>
  <si>
    <t xml:space="preserve">Số: 567/QĐ-UBND ngày 14/04/2025 </t>
  </si>
  <si>
    <t>Nâng cấp, mở rộng tuyến Trà Bay (tuyến tránh Quốc lộ 91 đến Cái Tiến; tuyến Cái Tiến trái - nhà Ngũ Văn Phong) thuộc phường Thốt Nốt</t>
  </si>
  <si>
    <t>Số 972, 03/6/2021</t>
  </si>
  <si>
    <t xml:space="preserve">Nâng cấp, mở rộng tuyến từ Đình Tân Đông  đến ngã ba bến đò Bà Góa </t>
  </si>
  <si>
    <t>Số 995, 09/6/2021</t>
  </si>
  <si>
    <t>Nâng cấp, mở rộng tuyến Rạch Ranh - nhà ông Tha; Tuyến cầu Hưng Long-Sông Hậu thuộc phường Thuận Hưng</t>
  </si>
  <si>
    <t>Thuận Hưng</t>
  </si>
  <si>
    <t>Số 789, 06/5/2021</t>
  </si>
  <si>
    <t>Nâng cấp, mở rộng tuyến Thắng Lợi 1 trái</t>
  </si>
  <si>
    <t>Thuận An</t>
  </si>
  <si>
    <t>Số 869, 13/5/2021</t>
  </si>
  <si>
    <t>Mở rộng, nâng cấp tuyến đường giao thông từ Ủy ban nhân dân phường đến khu vực Tân Mỹ 2 phường Tân Lộc</t>
  </si>
  <si>
    <t>Số 1324, 26/7/2021</t>
  </si>
  <si>
    <t>Đường Thanh niên nối dài tuyến tránh Thốt Nốt</t>
  </si>
  <si>
    <t>Số 1435, 30/8/2021</t>
  </si>
  <si>
    <t>Nâng cấp, mở rộng tuyến cặp Trường mầm non đến cầu Bà Mười đường Nguyễn Trọng Quyền</t>
  </si>
  <si>
    <t>Trung Kiên</t>
  </si>
  <si>
    <t>Số 3369/QĐ-UBND, 29/11/2021</t>
  </si>
  <si>
    <t>Nâng cấp, mở rộng tuyến Khai Long</t>
  </si>
  <si>
    <t>Số 3374/QĐ-UBND, 29/11/2021</t>
  </si>
  <si>
    <t>Nâng cấp, mở rộng tuyến chợ Thuận Hưng - cầu Ông Mỏng</t>
  </si>
  <si>
    <t>Số 4251/QĐ-UBND, 29/11/2021</t>
  </si>
  <si>
    <t>Nâng cấp, mở rộng tuyến Cả Kè (từ QL91 - cầu Lung Ngữ nhỏ), tuyến Thơm Rơm khu vực Tân Quới</t>
  </si>
  <si>
    <t>Tân Hưng</t>
  </si>
  <si>
    <t>Số 3377/QĐ-UBND, 29/11/2021</t>
  </si>
  <si>
    <t>Đường Mai Văn Bộ nối dài đến bến đò Thuận Hưng</t>
  </si>
  <si>
    <t>Số 1900/QĐ-UBND, 20/7/2022</t>
  </si>
  <si>
    <t>Nâng cấp mở rộng đường giao thông từ bến đò Tắc Cây Bàng đến cầu Chùa</t>
  </si>
  <si>
    <t>Số 1279/QĐ-UBND, 29/4/2022</t>
  </si>
  <si>
    <t xml:space="preserve">Nâng cấp các tuyến đường đô thị giai đoạn 2 </t>
  </si>
  <si>
    <t>Số 1292/QĐ-UBND, 06/5/2022</t>
  </si>
  <si>
    <t xml:space="preserve">Nâng cấp các tuyến đường đô thị giai đoạn 1 </t>
  </si>
  <si>
    <t>3286/QĐ-UBND ngày 30/11/2022</t>
  </si>
  <si>
    <t>Nâng cấp, mở rộng tuyến Ông Bồi</t>
  </si>
  <si>
    <t>Số 3285/QĐ-UBND, 30/11/2022</t>
  </si>
  <si>
    <t>Nâng cấp, mở rộng tuyến cầu Bà Mười (cặp sông Thốt Nốt đến đường Nguyễn Trọng Quyền)</t>
  </si>
  <si>
    <t>Số 3288/QĐ-UBND, 30/11/2022</t>
  </si>
  <si>
    <t>Nâng cấp, mở rộng tuyến đường Than – giáp Thới Long</t>
  </si>
  <si>
    <t>1006/QĐ-UBND ngày 15/5/2023</t>
  </si>
  <si>
    <t xml:space="preserve">Nâng cấp, mở rộng tuyến kênh Tân Quới (tuyến đường tránh – cầu ngang) </t>
  </si>
  <si>
    <t>1070/QĐ-UBND ngày 29/5/2023</t>
  </si>
  <si>
    <t>Nâng cấp, mở rộng tuyến đường từ khu vực Thới Thạnh 1 - khu vực Thới Thạnh 2.</t>
  </si>
  <si>
    <t>Thới Thuận</t>
  </si>
  <si>
    <t>1264/QĐ-UBND ngày 26/6/2023</t>
  </si>
  <si>
    <t>Nâng cấp, mở rộng tuyến Rạch Mương Ranh trái</t>
  </si>
  <si>
    <t>Thạnh Hòa</t>
  </si>
  <si>
    <t>Số 794, 05/5/2021</t>
  </si>
  <si>
    <t>Nâng cấp tuyến Trà Cui phải (cặp Rạch Trà Cui)</t>
  </si>
  <si>
    <t>P.Trung Kiên</t>
  </si>
  <si>
    <t>Số: 2027/QĐ-UBND
ngày 15/11/2023</t>
  </si>
  <si>
    <t>Nâng cấp, mở rộng tuyến Kênh Sáng Cụt</t>
  </si>
  <si>
    <t>P. Tân Hưng</t>
  </si>
  <si>
    <t xml:space="preserve">  số 1318; ngày 26/8/2024  </t>
  </si>
  <si>
    <t>Nâng cấp, mở rộng tuyến Cả Kè (Từ cầu Lung Ngữ nhỏ - giáp Thuận Hưng)</t>
  </si>
  <si>
    <t xml:space="preserve">  số 1319; ngày 26/8/2024  </t>
  </si>
  <si>
    <t>Nâng cấp, mở rộng tuyến đường từ nhà ông Biện Văn Ngân đến cầu Thanh Niên</t>
  </si>
  <si>
    <t>Số 1619/QĐ-UBND ngày 18/10/2024</t>
  </si>
  <si>
    <t>Nâng cấp mở rộng tuyến bến phà Tân Lộc đến bến đò Long Châu</t>
  </si>
  <si>
    <t xml:space="preserve">Số: 565/QĐ-UBND ngày 14/04/2025 </t>
  </si>
  <si>
    <t>Số: 1004/QĐ-UBND ngày 02/06/2025</t>
  </si>
  <si>
    <t>Số: 1005/QĐ-UBND ngày 02/06/2025</t>
  </si>
  <si>
    <t>Số: 1006/QĐ-UBND ngày 02/06/2025</t>
  </si>
  <si>
    <t>Số: 1022/QĐ-UBND ngày 03/06/2025</t>
  </si>
  <si>
    <t>Số: 1023/QĐ-UBND ngày 03/06/2025</t>
  </si>
  <si>
    <t>Số: 1024/QĐ-UBND ngày 03/06/2025</t>
  </si>
  <si>
    <t>Số: 1025/QĐ-UBND ngày 04/06/2025</t>
  </si>
  <si>
    <t>Số: 1026/QĐ-UBND ngày 04/06/2025</t>
  </si>
  <si>
    <t>Số: 1027/QĐ-UBND ngày 04/06/2025</t>
  </si>
  <si>
    <t>Số: 1028/QĐ-UBND ngày 04/06/2025</t>
  </si>
  <si>
    <t>Số: 1029/QĐ-UBND ngày 04/06/2025</t>
  </si>
  <si>
    <t>Số: 1030/QĐ-UBND ngày 04/06/2025</t>
  </si>
  <si>
    <t>Kênh Mương Bào, Hai Hối</t>
  </si>
  <si>
    <t xml:space="preserve"> Số 1705; ngày 06/11/2024 </t>
  </si>
  <si>
    <t>Kênh Xẻo Nhánh, Xẻo Nga, Bà Bèo</t>
  </si>
  <si>
    <t>P.Tân Hưng, Thuận Hưng</t>
  </si>
  <si>
    <t xml:space="preserve"> Số 1706; ngày 06/11/2024 </t>
  </si>
  <si>
    <t>Dự án Bờ kè sông chống sạt lở khu Nhà tạm giữ Công an quận</t>
  </si>
  <si>
    <t>Số: 1927/QĐ-UBND
ngày 30/10/2023</t>
  </si>
  <si>
    <t>Sửa chữa các nhà thông tin khu vực phường Thuận An (Thới An 1, Thới an 2, Thới An 3, Thới An 4, Thới Bình 1, Thới Bình 2)</t>
  </si>
  <si>
    <t>p.Thuận An</t>
  </si>
  <si>
    <t>Số 2225, 18/8/2022</t>
  </si>
  <si>
    <t>Xây mới, Sửa chữa các nhà văn hóa khu vực phường Tân Hưng (Xây mới nhà VHKV Tân Phước, Sửa chữa nhà VHKV: Tân Qưới, Tân Lợi 1, Tân Lợi 2)</t>
  </si>
  <si>
    <t>Số: 2029/QĐ-UBND
ngày 15/11/2023</t>
  </si>
  <si>
    <t>Sửa chữa Trung tâm văn hóa phường Thới Thuận</t>
  </si>
  <si>
    <t>Số 3423, 22/12/2022</t>
  </si>
  <si>
    <t>Cải tạo Công viên dọc Quốc lộ 91 (đoạn từ Mũi Tàu đến Trà Cui)</t>
  </si>
  <si>
    <t>Số 1293, 06/5/2022</t>
  </si>
  <si>
    <t>Sửa chữa Trung tâm văn hóa phường Thuận An</t>
  </si>
  <si>
    <t>Số 2035/QĐ- UBND
ngày 15/11/2023</t>
  </si>
  <si>
    <t>Sửa chữa Khu lưu niệm Chi bộ Đảng đầu tiên của quận Thốt Nốt</t>
  </si>
  <si>
    <t>Số 1888/QĐ-UBND, ngay 29/11/2024</t>
  </si>
  <si>
    <t>Sơn bê, sửa chữa Trung tâm Văn hóa và Truyền thanh quận</t>
  </si>
  <si>
    <t>901/QĐ-UBND, 18/6/2024</t>
  </si>
  <si>
    <t>Sửa chữa Trung tâm văn hóa phường Tân Hưng</t>
  </si>
  <si>
    <t>1881/QĐ-UBND ngày 29/11/2024</t>
  </si>
  <si>
    <t>Xây dựng hàng rào, nâng cấp khuôn viên, hệ thống cây xanh, hệ thống thoát nước  Ủy ban phường Tân Lộc</t>
  </si>
  <si>
    <t xml:space="preserve">Số 1132, 01/7/2021 </t>
  </si>
  <si>
    <t>Nâng cấp sửa chữa trụ sở phòng giáo dục và Đào tạo</t>
  </si>
  <si>
    <t>Số 1171, 7/7/2021</t>
  </si>
  <si>
    <t xml:space="preserve"> Xây dựng mới bộ phận tiếp nhận và trả kết quả, thiết bị UBND P. Tân Hưng.    </t>
  </si>
  <si>
    <t>Số 1752, 29/6/2022</t>
  </si>
  <si>
    <t xml:space="preserve">Sửa chữa, cải tạo Trung tâm giáo dục thường xuyên (điểm cũ) </t>
  </si>
  <si>
    <t>2022 - 2023</t>
  </si>
  <si>
    <t xml:space="preserve"> Số 1450/QĐ-UBND ngày 04/9/2021</t>
  </si>
  <si>
    <t>Nâng cấp và sửa chữa trụ sở UBND quận Thốt Nốt</t>
  </si>
  <si>
    <t>Số: 2028/QĐ-UBND
ngày 15/11/2023</t>
  </si>
  <si>
    <t>Mua sắm tài sản phục vụ công tác chuyên môn cho UBND 9 phường</t>
  </si>
  <si>
    <t xml:space="preserve"> 3018/QĐ-UBND ngày 30/10/2022</t>
  </si>
  <si>
    <t>Sửa chữa, sơn bê trụ sở UBND phường Thạnh Hòa + hệ thống PCCC + Bộ phận tiếp nhận và trả kết quả</t>
  </si>
  <si>
    <t>P. Thạnh Hòa</t>
  </si>
  <si>
    <t>Số: 1882/QĐ-UBND
ngày 20/10/2023</t>
  </si>
  <si>
    <t>Nâng cấp, sửa chữa trụ sở Quận ủy Thốt Nốt</t>
  </si>
  <si>
    <t>762/QĐ-UBND, 23/5/2024</t>
  </si>
  <si>
    <t>Nâng cấp, sửa chữa trụ sở UBND và xây mới bộ phận một cửa phường Thuận Hưng</t>
  </si>
  <si>
    <t>783/QĐ-UBND, 29/5/2024</t>
  </si>
  <si>
    <t xml:space="preserve">Nâng cấp sửa chữa Trung tâm Chính trị quận </t>
  </si>
  <si>
    <t>698/QĐ-UBND, 13/5/2024</t>
  </si>
  <si>
    <t>Trang thiết bị Ban chỉ huy quận sự 09 phường</t>
  </si>
  <si>
    <t>Số 1133, 01/07/2021</t>
  </si>
  <si>
    <t>Xây dựng nhà để xe, kho vũ khí, khu huấn luyện V100, nhà vệ sinh tuyển quân Ban chỉ huy quân sự quận, sửa chữa nhà nghĩ sỉ quan</t>
  </si>
  <si>
    <t>P.Thôt Nốt</t>
  </si>
  <si>
    <t>Số 1183, 09/7/2021</t>
  </si>
  <si>
    <t>Xây dựng nhà ăn, nâng cấp sân, hệ thống thoát nước, trang thiết bị phục vụ làm việc Ban chỉ huy quân sự quận</t>
  </si>
  <si>
    <t>Sửa chữa, sơn bê Ban chỉ huy quân sự phường Tân Lộc</t>
  </si>
  <si>
    <t>Số 2096, 10/8/2022</t>
  </si>
  <si>
    <t>Sửa chữa, sơn bê Ban chỉ huy quân sự phường Thuận Hưng</t>
  </si>
  <si>
    <t>Số 3236, 21/11/2022</t>
  </si>
  <si>
    <t>Sửa chữa, sơn bê Ban chỉ huy quân sự phường Trung Kiên</t>
  </si>
  <si>
    <t>Ban chỉ huy quân sự quận Thốt Nốt, hạng mục: sửa chữa Sở chỉ huy, nhà truyền thống</t>
  </si>
  <si>
    <t>1228/QĐ-UBND ngày 20/6/2023</t>
  </si>
  <si>
    <t>Nâng cấp, sửa chữa trụ sở làm việc và bê tông sân đội phòng cháy - chữa cháy và cứu hộ cứu nạn Công An quận</t>
  </si>
  <si>
    <t>Số: 1612/QĐ-UBND
ngày 16/08/2023</t>
  </si>
  <si>
    <t>Nâng cấp trụ sở làm việc đội Cảnh sát thi hành án hình sự và hỗ trợ tư pháp</t>
  </si>
  <si>
    <t>số 3304, 30/11/2022</t>
  </si>
  <si>
    <t>Nâng cấp sửa chữa trụ sở Công an quận (cũ) và bê tông sân đường; trang trí khánh tiết hội trưường xây dựng hàng rào bảo vệ, nhà ca nô và bến thủy khu bờ kè trụ sở Công An quận (mới)</t>
  </si>
  <si>
    <t>Số 1330, 26/7/2021</t>
  </si>
  <si>
    <t>Xây dựng nhà ở tập thể cho cán bộ chiến sĩ, Đội cảnh sát thi hành án hình sự và hỗ trợ tư pháp Công an quận</t>
  </si>
  <si>
    <t>912/QĐ-UBND, 20/6/2024</t>
  </si>
  <si>
    <t>Xây dựng mới trạm y tế phường Thuận Hưng</t>
  </si>
  <si>
    <t>Số 1328, 26/7/2021</t>
  </si>
  <si>
    <t>Xây mới Trạm y tế phường Trung Nhứt</t>
  </si>
  <si>
    <t>Số 3331, 05/12/2022</t>
  </si>
  <si>
    <t>Xây dựng mái che khu vực khu 3(khoa nhi, đường dẫn khoa khám bệnh, YHCT và khoa nhiễm) thuộc bệnh viện đa khoa Thốt Nốt</t>
  </si>
  <si>
    <t>Số 1525/QĐ-UBND, 23/9/2021</t>
  </si>
  <si>
    <t>Xây mới Trạm y tế phường Trung Kiên</t>
  </si>
  <si>
    <t>Số: 2102/QĐ-UBND
ngày 01/12/2023</t>
  </si>
  <si>
    <t>Sửa chữa Bệnh viện đa khoa quận Thốt Nốt</t>
  </si>
  <si>
    <t>914/QĐ-UBND, 21/6/2024</t>
  </si>
  <si>
    <t>Nâng cấp sửa chữa Trạm y tế các phường</t>
  </si>
  <si>
    <t>635/QĐ-UBND, 25/4/2024</t>
  </si>
  <si>
    <t>Nâng cấp mở rộng đường giao thông từ bến đò Tắc Cây Bàn đến Cầu Chùa</t>
  </si>
  <si>
    <t>Nâng cấp sửa chữa UBND phường Trung Kiên</t>
  </si>
  <si>
    <t>số 3400/QĐ-UBND, ngày 14/12/2022</t>
  </si>
  <si>
    <t>Xây dựng đường dây trung thế và trạm biến áp 250KVA tại KDC Chợ Bò Ót</t>
  </si>
  <si>
    <t>số 2644/QĐ-UBND, ngày 26/10/2018</t>
  </si>
  <si>
    <t>Ban Quản lý dự án đầu tư xây dựng khu vực Phong Điền</t>
  </si>
  <si>
    <t>Điều chỉnh quy hoạch chung xây dựng xã Nhơn Nghĩa</t>
  </si>
  <si>
    <t>xã Nhơn Nghĩa</t>
  </si>
  <si>
    <t>4008 - 13/11/24</t>
  </si>
  <si>
    <t>Lập Điều chỉnh quy hoạch sử dụng đất thời kỳ 2021-2030 huyện Phong Điền và kế hoạch sử dụng đất năm 2025 huyện Phong Điền</t>
  </si>
  <si>
    <t>H .PĐ</t>
  </si>
  <si>
    <t>2048 - 04/6/24</t>
  </si>
  <si>
    <t>Tuyến GTNT Cù Lao ấp Nhơn Phú 1 xã Nhơn Nghĩa</t>
  </si>
  <si>
    <t>xã NN</t>
  </si>
  <si>
    <t>4008-13/11/24</t>
  </si>
  <si>
    <t>Tuyến GTNT từ Cầu Chữ Y đến cầu Nhà Thờ Ông Hào (bên trái)</t>
  </si>
  <si>
    <t>xã Trường Long</t>
  </si>
  <si>
    <t>Tuyến GTNT Xà No Lò Đường - Cầu Trầu Hôi</t>
  </si>
  <si>
    <t>NCSC tuyến GTNT dọc theo sông Cầu Nhiếm (đoạn từ cầu Cây Dầu - nhà Ông Võ Văn Bé)</t>
  </si>
  <si>
    <t>xã Tân Thới</t>
  </si>
  <si>
    <t>Tuyến GTNT Mương Điều (bên trái), xã Nhơn Nghĩa</t>
  </si>
  <si>
    <t>Tuyến GTNT Đình Thần - Tân Hưng</t>
  </si>
  <si>
    <t>xã Giai Xuân</t>
  </si>
  <si>
    <t>Tuyến GTNT Xẻo Sơn (bên trái)</t>
  </si>
  <si>
    <t>Cầu Xẻo Sơn</t>
  </si>
  <si>
    <t>Cầu Xẻo Lá</t>
  </si>
  <si>
    <t>Gia cố sụt lún đoạn nhà Ông Ba Ngọt, ấp Nhơn Lộc 1, TT Phong Điền</t>
  </si>
  <si>
    <t>TT PĐ</t>
  </si>
  <si>
    <t>Tuyến GTNT So Đủa (bên trái)</t>
  </si>
  <si>
    <t>Tuyến GTNT Trầu Hôi (đoạn từ QL 61C - Ranh xã Thạnh Xuân)</t>
  </si>
  <si>
    <t>NC tuyến GTNT Lung Sấu - Rạch Bà Cả</t>
  </si>
  <si>
    <t>xã GX</t>
  </si>
  <si>
    <t>Nâng cấp tuyến lộ chợ xã Nhơn Nghĩa</t>
  </si>
  <si>
    <t>XD Cầu Ba Xoài</t>
  </si>
  <si>
    <t>Xây dựng mở rộng Cầu Rạch Vinh</t>
  </si>
  <si>
    <t>xã Mỹ Khánh</t>
  </si>
  <si>
    <t>500 - 12/02/25</t>
  </si>
  <si>
    <t>Xây dựng mở rộng Cầu Rạch Nhum</t>
  </si>
  <si>
    <t>Xây dựng Cầu Ông Nghĩa</t>
  </si>
  <si>
    <t>Xây dựng Cầu Ông Tạc</t>
  </si>
  <si>
    <t>NCSC UBND xã Mỹ Khánh</t>
  </si>
  <si>
    <t>xã MK</t>
  </si>
  <si>
    <t>Dự án đã hoàn thành đưa vào sử dụng</t>
  </si>
  <si>
    <t>Nâng cấp trường mầm non Trường Long</t>
  </si>
  <si>
    <t>6188-21/7/17</t>
  </si>
  <si>
    <t>Nâng cấp tuyến GTNT Cây Cẩm - Bòng Bọng</t>
  </si>
  <si>
    <t>x Tlong</t>
  </si>
  <si>
    <t>6051-30/10/14; 4127-30/12/16 (đc)</t>
  </si>
  <si>
    <t>Nâng cấp sửa chữa công an xã Mỹ Khánh</t>
  </si>
  <si>
    <t>x MK</t>
  </si>
  <si>
    <t>7190 - 29/9/2017</t>
  </si>
  <si>
    <t>Xây dựng 10 phòng nhà công vụ Công an huyện</t>
  </si>
  <si>
    <t>2659 - 27/10/2016</t>
  </si>
  <si>
    <t>Nâng cấp sửa chữa trụ sở Xã đội Mỹ Khánh</t>
  </si>
  <si>
    <t>7192 - 29/9/2017</t>
  </si>
  <si>
    <t>NCSC Ban chỉ huy quân sự huyện</t>
  </si>
  <si>
    <t>xã N Ái</t>
  </si>
  <si>
    <t>2722 - 11/9/2018</t>
  </si>
  <si>
    <t>Sửa chữa bổ sung Trụ sở UBND xã Tân Thới</t>
  </si>
  <si>
    <t>3404-30/10/19</t>
  </si>
  <si>
    <t>Nâng cấp sửa chữa trụ sở UBND xã Nhơn Nghĩa</t>
  </si>
  <si>
    <t>Xã Nhơn Nghĩa</t>
  </si>
  <si>
    <t>7193-29/9/17</t>
  </si>
  <si>
    <t>Nâng cấp sửa chữa khối Đoàn thể xã Mỹ Khánh</t>
  </si>
  <si>
    <t>7189- 29/9/2017</t>
  </si>
  <si>
    <t>Sửa chữa trụ sở UBND thị trấn Phong Điền năm 2020</t>
  </si>
  <si>
    <t>2795a/  6/9/2019</t>
  </si>
  <si>
    <t>Trường trung học cơ sở thị trấn Phong Điền</t>
  </si>
  <si>
    <t>2830-30/10/2018</t>
  </si>
  <si>
    <t>NC mở rộng đường Tân Thới - Trường Thành</t>
  </si>
  <si>
    <t>3381-30/10/19</t>
  </si>
  <si>
    <t>Đường GTNT Càng Đước - vàm Bi</t>
  </si>
  <si>
    <t>2013-2021</t>
  </si>
  <si>
    <t>2273-      17/5/13</t>
  </si>
  <si>
    <t>Tuyến GTNT Mương Bố - Mười Bo</t>
  </si>
  <si>
    <t>2080-27/6/2019</t>
  </si>
  <si>
    <t>Bồi hoàn di dời 12 hộ dân rạch Trà Niềng</t>
  </si>
  <si>
    <t>2601a-30/8/18
Đc: 2262-20/6/24</t>
  </si>
  <si>
    <t>Hệ thống chiếu sáng công cộng thông minh trên địa bàn Huyện Phong Điền giai đoạn 2</t>
  </si>
  <si>
    <t>Huyện PĐ</t>
  </si>
  <si>
    <t>3076- 23/8/24 (Đc)</t>
  </si>
  <si>
    <t>Điểm trung chuyển rác xã Giai Xuân</t>
  </si>
  <si>
    <t>3931-05/11/24</t>
  </si>
  <si>
    <t>Nâng cấp mở rộng trường Mầm Non Trường Tây</t>
  </si>
  <si>
    <t>xã TT</t>
  </si>
  <si>
    <t>5510-21/12/23</t>
  </si>
  <si>
    <t>XD bổ sung Trường TH Tân Thới 1</t>
  </si>
  <si>
    <t>5636-25/12/23</t>
  </si>
  <si>
    <t>XD nâng cấp Trường TH Nhơn Ái 1</t>
  </si>
  <si>
    <t>xã NA</t>
  </si>
  <si>
    <t>3992-03/10/23</t>
  </si>
  <si>
    <t>Sửa chữa, cải tạo trường tiểu học  Lộ Vòng Cung</t>
  </si>
  <si>
    <t>3615-11/10/24</t>
  </si>
  <si>
    <t>Xây dựng phòng chức năng và hệ thống phòng cháy chữa cháy Trường Mầm non Nhơn Ái</t>
  </si>
  <si>
    <t>xã Nhơn Ái</t>
  </si>
  <si>
    <t>3640-11/10/24</t>
  </si>
  <si>
    <t>Mua sắm thiết bị dạy học tối thiểu lớp 5, lớp 9</t>
  </si>
  <si>
    <t>5512-21/12/23</t>
  </si>
  <si>
    <t xml:space="preserve"> NCSC trường mầm non Tân Nhơn</t>
  </si>
  <si>
    <t>3654-14/10/24</t>
  </si>
  <si>
    <t xml:space="preserve">NCSC Trường TH Tây Đô </t>
  </si>
  <si>
    <t>3653-14/10/24</t>
  </si>
  <si>
    <t>NCSC trường TH Trường Long 3</t>
  </si>
  <si>
    <t>3655-14/10/24</t>
  </si>
  <si>
    <t>Nâng cấp sửa chữa Trạm Y tế xã Giai Xuân</t>
  </si>
  <si>
    <t>3919- 04/11/24</t>
  </si>
  <si>
    <t>Nâng cấp sửa chữa Trạm Y tế xã Mỹ Khánh</t>
  </si>
  <si>
    <t>3728- 16/10/24</t>
  </si>
  <si>
    <t>Nâng cấp sửa chữa Trạm y tế xã Nhơn Ái</t>
  </si>
  <si>
    <t>x NA</t>
  </si>
  <si>
    <t>3727- 16/10/24</t>
  </si>
  <si>
    <t>Nâng cấp sửa chữa Trạm y tế xã Nhơn Nghĩa</t>
  </si>
  <si>
    <t>xNN</t>
  </si>
  <si>
    <t>3726- 16/10/24</t>
  </si>
  <si>
    <t>Nâng cấp sửa chữa nhà văn hóa ấp Nhơn Hưng</t>
  </si>
  <si>
    <t>3682- 16/10/24</t>
  </si>
  <si>
    <t>XD trụ sở Ban CHQS xã Nhơn Ái</t>
  </si>
  <si>
    <t>5312- 19/12/23; ĐC: 3860 - 28/10/24</t>
  </si>
  <si>
    <t>Nâng cấp, sửa chữa Khu di tích mộ nhà thơ yêu nước Phan Văn Trị và Khu di tích lịch sử chiến thắng Ông Hào</t>
  </si>
  <si>
    <t>3922- 04/11/24</t>
  </si>
  <si>
    <t>Kho lưu trữ huyện Phong Điền</t>
  </si>
  <si>
    <t>5653-28/12/23</t>
  </si>
  <si>
    <t>Sửa chữa, cải tạo  trụ sở Huyện Ủy và các Ban xây dựng Đảng huyện Phong Điền</t>
  </si>
  <si>
    <t>3851-24/10/24</t>
  </si>
  <si>
    <t>NCSC VP HĐND và UBND huyện và trang thiết bị</t>
  </si>
  <si>
    <t>3923-04/11/24</t>
  </si>
  <si>
    <t>Duy tu sửa chữa khuôn viên huyện Ủy</t>
  </si>
  <si>
    <t>3917- 04/11/24</t>
  </si>
  <si>
    <t>Nâng cấp mở rộng hội trường trụ sở UBND xã Nhơn Nghĩa</t>
  </si>
  <si>
    <t>4043 -13/11/24</t>
  </si>
  <si>
    <t xml:space="preserve">Nâng cấp mở rộng tuyến GTNT từ cầu Rau Mui đến giáp ranh ấp Mỹ Hòa </t>
  </si>
  <si>
    <t>1266-10/4/2023</t>
  </si>
  <si>
    <t>Nâng cấp, cải tạo tuyến Mỹ Khánh - Bông Vang</t>
  </si>
  <si>
    <t>1189-03/4/2023</t>
  </si>
  <si>
    <t>Nâng cấp cống và mặt đập tuyến GTNT ấp Trường Phú</t>
  </si>
  <si>
    <t>3434-24/9/2024</t>
  </si>
  <si>
    <t>Nâng cấp vỉa hè, hệ thống thoát nước các trục đường trung tâm hành chính huyện năm 2024</t>
  </si>
  <si>
    <t>TT Phong Điền</t>
  </si>
  <si>
    <t>3725- 16/10/24</t>
  </si>
  <si>
    <t>Xây dựng Trung tâm Chính trị huyện</t>
  </si>
  <si>
    <t>thị trấn Phong Điền</t>
  </si>
  <si>
    <t>5511-21/12/2023</t>
  </si>
  <si>
    <t>Nâng cấp sửa chữa Trụ sở UBND xã Tân Thới.</t>
  </si>
  <si>
    <t>5199-11/12/2023</t>
  </si>
  <si>
    <t>Nâng cấp nhà văn hóa các ấp trên địa bàn xã Tân Thới</t>
  </si>
  <si>
    <t>5200-11/12/2023</t>
  </si>
  <si>
    <t>Nâng cấp Trung tâm văn hóa xã Tân Thới</t>
  </si>
  <si>
    <t>5197-11/12/2023</t>
  </si>
  <si>
    <t>Nâng cấp sửa chữa Trạm y tế xã Tân Thới.</t>
  </si>
  <si>
    <t>5198-11/12/2023</t>
  </si>
  <si>
    <t>4924- 28/11/23</t>
  </si>
  <si>
    <t>Nâng cấp sửa chữa mặt đường tuyến Nguyễn Văn Cừ nối dài năm 2024 (đoạn từ cầu Trường Tiền đến Cầu Rạch Chuối)</t>
  </si>
  <si>
    <t>5842-29/12/23</t>
  </si>
  <si>
    <t>Trụ sở Công an xã Tân Thới</t>
  </si>
  <si>
    <t>1910-24/5/22</t>
  </si>
  <si>
    <t>Xây dựng hệ thống hạ tầng kỹ thuật đường vào Trường THCS thị trấn Phong Điền</t>
  </si>
  <si>
    <t>3946-02/10/2023</t>
  </si>
  <si>
    <t>Nâng cấp tuyến GTNT cống Cầu Nhiếm - Vàm Bòng Bọng</t>
  </si>
  <si>
    <t>2506-14/7/2022; 4398-02/11/2023 (ĐC)</t>
  </si>
  <si>
    <t>Nâng cấp mở rộng tuyến GTNT từ Cầu Rạch Kè đến Bờ Hồ</t>
  </si>
  <si>
    <t>1294 - 10/4/2023</t>
  </si>
  <si>
    <t>Lắp đặt hệ thống điện chiếu sáng công cộng trên địa bàn huyện Phong Điền</t>
  </si>
  <si>
    <t>3979-04/10/2023</t>
  </si>
  <si>
    <t>Gia cố sạt lở đoạn sông Trường Tiền (đoạn nhà Bà Dương Thị Bãnh) trên địa bàn ấp Mỹ Ái, xã Mỹ Khánh, huyện Phong Điền, Tp Cần Thơ</t>
  </si>
  <si>
    <t>3858-25/10/2024</t>
  </si>
  <si>
    <t>Xây dựng bổ sung trường tiểu học Trường Long 3</t>
  </si>
  <si>
    <t>2021 - 2023</t>
  </si>
  <si>
    <t>4109-25/10/22</t>
  </si>
  <si>
    <t>Xây dựng bổ sung trường THCS Trường Long</t>
  </si>
  <si>
    <t>4629-21/11/2022</t>
  </si>
  <si>
    <t>NC mở rộng trường MN Tân Xuân</t>
  </si>
  <si>
    <t>2595-22/7/2022</t>
  </si>
  <si>
    <t>XD và nâng cấp Trường mầm non Mỹ Phước</t>
  </si>
  <si>
    <t>1298-10/4/2023</t>
  </si>
  <si>
    <t>XD và nâng cấp Trường THCS Mỹ Khánh</t>
  </si>
  <si>
    <t>1300-10/4/2023</t>
  </si>
  <si>
    <t>XDBS trường MN Mỹ Khánh</t>
  </si>
  <si>
    <t>1297-10/4/2023</t>
  </si>
  <si>
    <t>Nâng cấp mở rộng trường THCS Nhơn Nghĩa</t>
  </si>
  <si>
    <t>2583-20/7/2022</t>
  </si>
  <si>
    <t>Xây dựng bổ sung trường tiểu học Trường Long 2</t>
  </si>
  <si>
    <t>xã TL</t>
  </si>
  <si>
    <t>4153-26/10/2022</t>
  </si>
  <si>
    <t>Trung tâm Giáo dục nghề nghiệp - Giáo dục TX</t>
  </si>
  <si>
    <t>TTPĐ</t>
  </si>
  <si>
    <t>5313-19/12/23</t>
  </si>
  <si>
    <t>Cấp vốn ủy thác cho Phòng Giao dịch Ngân hàng Chính sách xã hội huyện Phong Điền năm 2024 - 2025</t>
  </si>
  <si>
    <t>4931 - 28/11/23; ĐC: 4023 - 13/11/24</t>
  </si>
  <si>
    <t>Đề án</t>
  </si>
  <si>
    <t>Nâng cấp, Xây dựng Hệ thống PCCC trụ sở UBND huyện</t>
  </si>
  <si>
    <t>4492-05/12/24</t>
  </si>
  <si>
    <t>Nâng cấp, sửa chữa trụ sở UBND xã Trường Long (dự kiến mới)</t>
  </si>
  <si>
    <t>xã T Long</t>
  </si>
  <si>
    <t>1982 - 30/5/25</t>
  </si>
  <si>
    <t>Nâng cấp, sửa chữa trụ sở UBND xã Nhơn Nghĩa (dự kiến thành UBND xã Nhơn Ái mới)</t>
  </si>
  <si>
    <t>Xã N. Nghĩa</t>
  </si>
  <si>
    <t>1983 - 30/5/25</t>
  </si>
  <si>
    <t>Nâng cấp, sửa chữa trụ sở UBND xã Phong Điền (dự kiến mới)</t>
  </si>
  <si>
    <t>1981 - 30/5/25</t>
  </si>
  <si>
    <t>Nâng cấp duy tu trụ sở Ban CHQS huyện và nhà ở dân quân thường trực</t>
  </si>
  <si>
    <t>4724- 17/12/24</t>
  </si>
  <si>
    <t>Xây dựng cống Rạch Miễu xã Tân Thới</t>
  </si>
  <si>
    <t xml:space="preserve">4710 - 16/12/24 </t>
  </si>
  <si>
    <t>Nâng cấp mở rộng các trục đường vào trường mầm non Mỹ Khánh</t>
  </si>
  <si>
    <t>919-13/3/24</t>
  </si>
  <si>
    <t>695-27/02/25</t>
  </si>
  <si>
    <t>674 - 24/02/25</t>
  </si>
  <si>
    <t>696-27/02/25</t>
  </si>
  <si>
    <t>611 - 18/02/25</t>
  </si>
  <si>
    <t>692-27/02/25</t>
  </si>
  <si>
    <t>691-27/02/25</t>
  </si>
  <si>
    <t>693-27/02/25</t>
  </si>
  <si>
    <t>912 - 13/3/25</t>
  </si>
  <si>
    <t>913 - 13/3/5</t>
  </si>
  <si>
    <t>617 - 19/02/25</t>
  </si>
  <si>
    <t>694-27/02/25</t>
  </si>
  <si>
    <t>Nâng cấp cải tạo hệ thống chiếu sáng công cộng tuyến tỉnh lộ 932 (đoạn Chợ Vàm Xáng đến Trầu Hôi) xã Nhơn Nghĩa</t>
  </si>
  <si>
    <t>914 - 13/3/25</t>
  </si>
  <si>
    <t>Lắp đặt hệ thống chiếu sáng công cộng năm 2025 trên địa bàn huyện</t>
  </si>
  <si>
    <t>các xã - TT</t>
  </si>
  <si>
    <t>915 - 13/3/25</t>
  </si>
  <si>
    <t>Lắp đặt hệ thống chiếu sáng công cộng tuyến Quốc lộ 61C, xã Nhơn Nghĩa</t>
  </si>
  <si>
    <t>916 - 13/3/25</t>
  </si>
  <si>
    <t>618 - 19/02/25</t>
  </si>
  <si>
    <t>665 - 20/02/25</t>
  </si>
  <si>
    <t>612 - 18/02/25</t>
  </si>
  <si>
    <t>917 - 13/3/25</t>
  </si>
  <si>
    <t>Nâng cấp tuyến GTNT từ Cầu Năm Hận - Ba Dơi Lớn xã Giai Xuân</t>
  </si>
  <si>
    <t>908 - 13/3/25</t>
  </si>
  <si>
    <t>13388-28/4/2025</t>
  </si>
  <si>
    <t>1382-25/4/2025</t>
  </si>
  <si>
    <t>Xây dựng Cầu Ranh Làng</t>
  </si>
  <si>
    <t>993-20/3/2025</t>
  </si>
  <si>
    <t>Xây dựng Cầu Vàm Rau Mui</t>
  </si>
  <si>
    <t>1015-26/3/2025</t>
  </si>
  <si>
    <t>Ban Quản lý dự án đầu tư xây dựng khu vực Cờ Đỏ</t>
  </si>
  <si>
    <t>Lập điều chỉnh Quy hoạch sử dụng đất đến năm 2030 và Kế hoạch sử dụng đất năm 2025 huyện Cờ Đỏ</t>
  </si>
  <si>
    <t>2039a/QĐ-UBND ngày 27/6/2024</t>
  </si>
  <si>
    <t>Trường Tiểu học Thới Đông 2</t>
  </si>
  <si>
    <t>Thới Đông</t>
  </si>
  <si>
    <t>314/QĐ-UBND ngày 21/01/2022</t>
  </si>
  <si>
    <t>Trường Tiểu học Trung Thạnh 4</t>
  </si>
  <si>
    <t>Trung Thạnh</t>
  </si>
  <si>
    <t>04/2023 - 08/2024</t>
  </si>
  <si>
    <t>315/QĐ-UBND ngày 21/01/2022</t>
  </si>
  <si>
    <t>Trường Tiểu học Thới Xuân 2</t>
  </si>
  <si>
    <t>Thới Xuân</t>
  </si>
  <si>
    <t>313/QĐ-UBND ngày 21/01/2022</t>
  </si>
  <si>
    <t>Mua sắm thiết bị dạy học tối thiểu lớp 5</t>
  </si>
  <si>
    <t>4055/QĐ-UBND ngày 05/12/2024</t>
  </si>
  <si>
    <t>NCSC Trạm y tế xã Thới Xuân</t>
  </si>
  <si>
    <t>3355/QĐ-UBND ngày 14/10/2024</t>
  </si>
  <si>
    <t>NCSC Trạm y tế xã Trung Hưng</t>
  </si>
  <si>
    <t>Trung Hưng</t>
  </si>
  <si>
    <t>3356/QĐ-UBND ngày 14/10/2024</t>
  </si>
  <si>
    <t>Nâng cấp mở rộng tuyến đường ô tô vào trung tâm xã Thới Hưng</t>
  </si>
  <si>
    <t>Thới Hưng</t>
  </si>
  <si>
    <t>8630/QĐ-UBND ngày 14/10/2021</t>
  </si>
  <si>
    <t>Nâng cấp tuyến đường trục Công ty TNHH MTV Nông nghiệp Cờ Đỏ</t>
  </si>
  <si>
    <t>Thạnh Phú</t>
  </si>
  <si>
    <t>04/4/2022-16/05/2025</t>
  </si>
  <si>
    <t>8631/QĐ-UBND ngày 14/10/2021</t>
  </si>
  <si>
    <t>Cầu kênh 200</t>
  </si>
  <si>
    <t>Đông Hiệp</t>
  </si>
  <si>
    <t>1034/QĐ-UBND ngày 5/4/2024</t>
  </si>
  <si>
    <t>Cầu kênh M</t>
  </si>
  <si>
    <t>1452/QĐ-UBND ngày 15/5/2024</t>
  </si>
  <si>
    <t>Nâng cấp Đường GTNT tuyến kênh Xáng Bộ</t>
  </si>
  <si>
    <t>Đông Thắng</t>
  </si>
  <si>
    <t>1033/QĐ-UBND ngày 05/4/2024</t>
  </si>
  <si>
    <t>Xây dựng Khu tái định cư ấp Thới Hòa B (giai đoạn 3)</t>
  </si>
  <si>
    <t>7902/QĐ-UBND ngày 09/8/2023</t>
  </si>
  <si>
    <t>Lát gạch vỉa hè khu DCVL xã Đông Hiệp</t>
  </si>
  <si>
    <t>1485/QĐ-UBND ngày 22/05/2024</t>
  </si>
  <si>
    <t>Lát gạch vỉa hè khu DCVL xã Thạnh Phú</t>
  </si>
  <si>
    <t>1484/QĐ-UBND ngày 22/05/2024</t>
  </si>
  <si>
    <t>Lát gạch vỉa hè khu DCVL xã Thới Đông</t>
  </si>
  <si>
    <t>1467/QĐ-UBND ngày 21/05/2024</t>
  </si>
  <si>
    <t>Thảm nhựa mặt đường khu DCVL xã Đông Hiệp</t>
  </si>
  <si>
    <t>3512/QĐ-UBND ngày 30/10/2024</t>
  </si>
  <si>
    <t>Thảm nhựa mặt đường khu DCVL xã Thạnh Phú</t>
  </si>
  <si>
    <t>3511/QĐ-UBND ngày 30/10/2024</t>
  </si>
  <si>
    <t>Thảm nhựa mặt đường khu DCVL xã Thới Đông</t>
  </si>
  <si>
    <t>3510/QĐ-UBND ngày 30/10/2024</t>
  </si>
  <si>
    <t>Phủ bạt HDPE và xây dựng trạm biến áp khu xử lý chất thải rắn huyện Cờ Đỏ</t>
  </si>
  <si>
    <t>3086/QĐ-UBND ngày 07/10/2024</t>
  </si>
  <si>
    <t>NCSC Trung tâm văn hóa - thể thao xã Thới Đông</t>
  </si>
  <si>
    <t>Xã Thới Đông</t>
  </si>
  <si>
    <t>440a/QĐ-UBND ngày 13/02/2025</t>
  </si>
  <si>
    <t>NCSC Trung tâm văn hóa - thể thao xã Thới Xuân</t>
  </si>
  <si>
    <t>Xã Thới Xuân</t>
  </si>
  <si>
    <t>02/2025 - 03/2025</t>
  </si>
  <si>
    <t>439a/QĐ-UBND ngày 13/02/2025</t>
  </si>
  <si>
    <t>NCSC Trung tâm văn hóa - thể thao xã Thạnh Phú</t>
  </si>
  <si>
    <t>Xã Thạnh Phú</t>
  </si>
  <si>
    <t>18/02/2025-18/03/2025</t>
  </si>
  <si>
    <t>Số 441a/QĐ-UBND ngày 13/02/2025</t>
  </si>
  <si>
    <t>NCSC Trung tâm văn hóa - thể thao xã Trung Thạnh</t>
  </si>
  <si>
    <t>Xã Trung Thạnh</t>
  </si>
  <si>
    <t>2/2025-3/2025</t>
  </si>
  <si>
    <t>616a/QĐ-UBND ngày 20/02/2025</t>
  </si>
  <si>
    <t>NCSC Trung tâm văn hóa - thể thao xã Đông Thắng</t>
  </si>
  <si>
    <t>Xã Đông Thắng</t>
  </si>
  <si>
    <t>569a/QĐ-UBND ngày 19/02/2025</t>
  </si>
  <si>
    <t>NCSC Trung tâm văn hóa - thể thao xã Thới Hưng</t>
  </si>
  <si>
    <t>Xã Thới Hưng</t>
  </si>
  <si>
    <t>570a/QĐ-UBND ngày 19/02/2025</t>
  </si>
  <si>
    <t>NCSC Ban chỉ huy Quân sự xã Trung Thạnh</t>
  </si>
  <si>
    <t>613a/QĐ-UBND ngày 20/02/2025</t>
  </si>
  <si>
    <t>Xây dựng Trụ sở công an xã Trung An</t>
  </si>
  <si>
    <t>Trung An</t>
  </si>
  <si>
    <t>01/2024 - 01/2025</t>
  </si>
  <si>
    <t>7909/QĐ-UBND ngày 11/8/2023</t>
  </si>
  <si>
    <t>Xây dựng Trụ sở công an xã Thới Đông</t>
  </si>
  <si>
    <t>7931/QĐ-UBND ngày 14/8/2023</t>
  </si>
  <si>
    <t>Cho vay hỗ trợ tạo việc làm, duy trì và mở rộng việc làm năm 2025</t>
  </si>
  <si>
    <t>Huyện Cờ Đỏ</t>
  </si>
  <si>
    <t>Đường GTNT tuyến kênh Đứng Bờ Nam (đoạn giáp xã Đông Thắng)</t>
  </si>
  <si>
    <t>3650/QĐ-UBND ngày 06/11/2024</t>
  </si>
  <si>
    <t>Đường GTNT tuyến kênh Thơm Rơm (Bên phải)</t>
  </si>
  <si>
    <t>1486/QĐ-UBND ngày 22/5/2024</t>
  </si>
  <si>
    <t>Cầu Số 4</t>
  </si>
  <si>
    <t>2732/QĐ-UBND ngày 30/8/2024</t>
  </si>
  <si>
    <t>Thảm nhựa mặt đường, lát gạch vỉa hè khu DCVL Ba Đá</t>
  </si>
  <si>
    <t>3509/QĐ-UBND ngày 30/10/2024</t>
  </si>
  <si>
    <t>Thảm nhựa mặt đường, lát gạch vỉa hè khu DCVL xã Trung Hưng</t>
  </si>
  <si>
    <t>3775/QĐ-UBND ngày 13/11/2024</t>
  </si>
  <si>
    <t>Thảm nhựa mặt đường, lát gạch vỉa hè khu DCVL xã Trung Thạnh</t>
  </si>
  <si>
    <t>3776/QĐ-UBND ngày 13/11/2024</t>
  </si>
  <si>
    <t>Xây dựng các Phòng chức năng và NCSC Trường THCS thị trấn Cờ Đỏ</t>
  </si>
  <si>
    <t>Thị trấn Cờ Đỏ</t>
  </si>
  <si>
    <t>1736/QĐ-UBND ; 13/5/2025</t>
  </si>
  <si>
    <t>Xây dựng Hệ thống PCCC các Trường Mầm non thuộc xã (Trung Thạnh, Trung An, Thạnh Phú, Thới Hưng)</t>
  </si>
  <si>
    <t>2547/QĐ-UBND ngày 12/6/2025</t>
  </si>
  <si>
    <t>Xây dựng Hệ thống PCCC các Trường Mầm non thuộc xã (Đông Hiệp, Đông Thắng, Thới Xuân, Thới Đông)</t>
  </si>
  <si>
    <t>2548/QĐ-UBND ngày 12/6/2025</t>
  </si>
  <si>
    <t>Xây dựng các Phòng chức năng và NCSC Trường THCS Trung Hưng</t>
  </si>
  <si>
    <t>Xã Trung Hưng</t>
  </si>
  <si>
    <t>1737/ QĐ-UBND ngày 13/5/2025</t>
  </si>
  <si>
    <t>Xây dựng các Phòng chức năng và NCSC Trường Tiểu học Thới Hưng 1</t>
  </si>
  <si>
    <t>Số 1676/QĐ-UBND ngày 08/5/2025</t>
  </si>
  <si>
    <t>Đường GTNT tuyến kênh KH6</t>
  </si>
  <si>
    <t>2455/QĐ-UBND; ngày 09/6/2025</t>
  </si>
  <si>
    <t>Nâng cấp đường GTNT tuyến Thơm Rơm</t>
  </si>
  <si>
    <t>Xã Trung Thạnh - Xã Trung Hưng</t>
  </si>
  <si>
    <t>1444/QĐ-UBND ngày 24/4/2025</t>
  </si>
  <si>
    <t>Nâng cấp đường GTNT tuyến Lấp Vò - Bắc Đuông (cặp Sông Xáng Thốt Nốt)</t>
  </si>
  <si>
    <t>2293/QĐ-UBND ngày 30/5/2025</t>
  </si>
  <si>
    <t>Nâng cấp đường GTNT tuyến Bắc Đuông - Sình Cầu</t>
  </si>
  <si>
    <t>2294/QĐ-UBND ngày 30/5/2025</t>
  </si>
  <si>
    <t>Nâng cấp thảm nhựa mặt đường (đoạn từ Khu dân cư xã Trung Thạnh đến cầu Bắc Đuông)</t>
  </si>
  <si>
    <t>1598/QĐ-UBND ngày 05/5/2025</t>
  </si>
  <si>
    <t>Đường GTNT tuyến Kênh KH3 (Bên phải)</t>
  </si>
  <si>
    <t>1599/QĐ-UBND ngày 05/5/2025</t>
  </si>
  <si>
    <t>Đường GTNT tuyến Kênh Số 3 (Bên phải)</t>
  </si>
  <si>
    <t>1529/QĐ-UBND ngày 25/4/2025</t>
  </si>
  <si>
    <t>Đường GTNT tuyến Kênh Thầy Tám (Bên phải)</t>
  </si>
  <si>
    <t>2646/QĐ-UBND ngày 17/6/2025</t>
  </si>
  <si>
    <t>Cầu Kênh 200 - xã Thới Xuân</t>
  </si>
  <si>
    <t>1634/QĐ-UBND ngày 07/5/2025</t>
  </si>
  <si>
    <t>Nâng cấp đường GTNT tuyến Kênh Số 4</t>
  </si>
  <si>
    <t>1443/QĐ-UBND ngày 24/4/2025</t>
  </si>
  <si>
    <t>Xây dựng Cầu Trạm y tế xã Thạnh Phú</t>
  </si>
  <si>
    <t>2647/QĐ-UBND ngày 17/6/2025</t>
  </si>
  <si>
    <t>Hệ thống thoát nước, vỉa hè Trung tâm xã Đông Thắng (đoạn từ Trường Mầm non đến UBND xã)</t>
  </si>
  <si>
    <t>2519/QĐ-UBND ngày 12/6/2025</t>
  </si>
  <si>
    <t>Đường GTNT tuyến Kênh Tư Pho</t>
  </si>
  <si>
    <t>Xã Đông Hiệp</t>
  </si>
  <si>
    <t>1630/QĐ-UBND ngày 07/5/2025</t>
  </si>
  <si>
    <t>Đường GTNT tuyến Kênh Lòng Ống (ấp Thới Hòa - thị trấn Cờ Đỏ)</t>
  </si>
  <si>
    <t>2459/QĐ-UBND ngày 10/6/2025</t>
  </si>
  <si>
    <t>Xây dựng Cầu Kênh Đứng và Đường nối đến Kênh Thơm Rơm</t>
  </si>
  <si>
    <t>2648/QĐ-UBND ngày 17/6/2025</t>
  </si>
  <si>
    <t>Hệ thống chiếu sáng công cộng Đường ô tô vào trung tâm xã Thới Hưng</t>
  </si>
  <si>
    <t>1174/QĐ-UBND ngày 26/3/2025</t>
  </si>
  <si>
    <t>Ban Quản lý dự án đầu tư xây dựng khu vực Thới Lai</t>
  </si>
  <si>
    <t>Hệ thống Camera giám sát an ninh trật tự trên địa bàn huyện Thới Lai (giai đoạn 1)</t>
  </si>
  <si>
    <t>Huyện Thới Lai</t>
  </si>
  <si>
    <t>CBĐT năm 2025</t>
  </si>
  <si>
    <t>Lập điều chỉnh Quy hoạch sử dụng đất đến năm 2030 và kế hoạch sử dụng đất năm đầu của điều chỉnh quy hoạch sử dụng đất huyện Thới Lai</t>
  </si>
  <si>
    <t>774, ngày 28/6/2024</t>
  </si>
  <si>
    <t>Quy hoạch phân khu tỷ lệ 1/2000 Khu đô thị mới xã Đông Thuận, huyện Thới Lai</t>
  </si>
  <si>
    <t>Xã Đông Thuận</t>
  </si>
  <si>
    <t xml:space="preserve">Quy hoạch phân khu tỷ lệ 1/2000 Khu đô thị mới, thương mại, dịch vụ thể thao và vui chơi giải trí </t>
  </si>
  <si>
    <t>Quy hoạch phân khu tỷ lệ 1/2000 Khu công viên nghĩa trang</t>
  </si>
  <si>
    <t>Quy hoạch chi tiết tỷ lệ 1/500 Cụm công nghiệp Thới Lai</t>
  </si>
  <si>
    <t>Quy chế quản lý kiến trúc điểm dân cư nông thôn 12 xã, huyện Thới Lai, thành phố Cần Thơ</t>
  </si>
  <si>
    <t xml:space="preserve">Huyện Thới Lai </t>
  </si>
  <si>
    <t>Quy chế quản lý kiến trúc Thị trấn Thới Lai, huyện Thới Lai, thành phố Cần Thơ</t>
  </si>
  <si>
    <t xml:space="preserve">Thị trấn Thới Lai </t>
  </si>
  <si>
    <t>Cấp vốn ủy thác cho Phòng giao dịch Ngân hàng Chính sách xã hội huyện Thới Lai để cho vay hỗ trợ tạo việc làm, duy trì và mở rộng việc làm</t>
  </si>
  <si>
    <t>thị trấn Thới Lai</t>
  </si>
  <si>
    <t>Xây dựng trường tiểu học Thới Tân 1 (Giai đoạn 2)</t>
  </si>
  <si>
    <t>xã Thới Tân</t>
  </si>
  <si>
    <t>18/11/2023-18/4/2024</t>
  </si>
  <si>
    <t xml:space="preserve">1091, ngày 6/5/2021 </t>
  </si>
  <si>
    <t>Xây dựng trường tiểu học Trường Xuân 2</t>
  </si>
  <si>
    <t>xã Trường Xuân</t>
  </si>
  <si>
    <t>KC: 25/12/2021
HT: 16/6/2023</t>
  </si>
  <si>
    <t>1552, ngày 31/5/2021</t>
  </si>
  <si>
    <t>Nâng cấp mở rộng trường tiểu học Đông Bình 3</t>
  </si>
  <si>
    <t>xã Đông Bình</t>
  </si>
  <si>
    <t>KC: 15/9/2022
HT: 5/2024</t>
  </si>
  <si>
    <t>3334, ngày 30/11/2021</t>
  </si>
  <si>
    <t>Tuyến đường Kênh KH7 (bên phải)</t>
  </si>
  <si>
    <t>xã Đông Thuận</t>
  </si>
  <si>
    <t>20/05/2022 - 18/01/2023</t>
  </si>
  <si>
    <t>3056/QĐ-UBND ngày 18/11/2021</t>
  </si>
  <si>
    <t>Tuyến cầu Kênh KH7 (bên trái)</t>
  </si>
  <si>
    <t>xã Trường Xuân, Trường Xuân B, Trường Xuân A</t>
  </si>
  <si>
    <t>Ngày 14/7/2022 - 12/03/2023</t>
  </si>
  <si>
    <t>Số 4212/QĐ-UBND Ngày 29/10/2018</t>
  </si>
  <si>
    <t>Nâng cấp 07 trụ sở công an xã trên địa bàn huyện Thới Lai
Hạng mục: Hệ thống cấp nước chữa cháy và cầu thang thoát nạn</t>
  </si>
  <si>
    <t>huyện Thới Lai</t>
  </si>
  <si>
    <t>25/7/2022-07/8/2023</t>
  </si>
  <si>
    <t>2965/QĐ-UBND
26/10/2021</t>
  </si>
  <si>
    <t>Sửa chữa trường tiểu học Trường Thắng</t>
  </si>
  <si>
    <t>xã Trường Thắng</t>
  </si>
  <si>
    <t>3/2024-01/2025</t>
  </si>
  <si>
    <t>5698/QĐ-UBND ngày 17/11/2023</t>
  </si>
  <si>
    <t>Sửa chữa trường trung học cơ sở Trường Thành 1</t>
  </si>
  <si>
    <t>xã Trường Thành</t>
  </si>
  <si>
    <t>12/6/2023-2/10/2023</t>
  </si>
  <si>
    <t>3129/QĐ-UBND
01/10/2022</t>
  </si>
  <si>
    <t>Xây dựng 04 phòng học trường mầm non Tân Thạnh (điểm Thới Khánh)</t>
  </si>
  <si>
    <t>xã Tân Thạnh</t>
  </si>
  <si>
    <t>9/2023-4/2024</t>
  </si>
  <si>
    <t>3581A/QĐ-UBND ngày 30/11/2022</t>
  </si>
  <si>
    <t>Sửa chữa Trường tiểu học Thới Thạnh</t>
  </si>
  <si>
    <t>xã Thới Thạnh</t>
  </si>
  <si>
    <t>27/11/2023-09/3/2024</t>
  </si>
  <si>
    <t>3579A, ngày 30/11/2022</t>
  </si>
  <si>
    <t>Trường tiểu học Trường Xuân 2 (giai đoạn 2)</t>
  </si>
  <si>
    <t xml:space="preserve">xã Trường Xuân </t>
  </si>
  <si>
    <t>KC: 25/12/2024
HT: 12/02/2025</t>
  </si>
  <si>
    <t>3535 ngày 28/11/2022</t>
  </si>
  <si>
    <t>Nâng cấp sửa chữa trường tiểu học Thới Tân 2</t>
  </si>
  <si>
    <t>KC: 15/08/2023 HT: 02/01/2024</t>
  </si>
  <si>
    <t xml:space="preserve"> Số 3529 29/11/2022</t>
  </si>
  <si>
    <t>Xây dựng hồ bơi trường tiểu học Trường Xuân B</t>
  </si>
  <si>
    <t>xã Trường Xuân B</t>
  </si>
  <si>
    <t>KC: 30/06/2023 HT: 30/10/2023</t>
  </si>
  <si>
    <t xml:space="preserve"> Số 3284 01/11/2022</t>
  </si>
  <si>
    <t>Mua sắm trang thiết bị phục vụ thay sách các trường mầm non, tiểu học, trung học cơ sở (giai đoạn 3)</t>
  </si>
  <si>
    <t>24/11/2023-10/4/2024</t>
  </si>
  <si>
    <t>Số 391 ngày 03/07/2023</t>
  </si>
  <si>
    <t>Trang thiết bị dạy học các Trường Mầm non, Trường Tiểu học và Trường trung học cơ sở</t>
  </si>
  <si>
    <t>22/11/2023-16/06/2024</t>
  </si>
  <si>
    <t>Số 418, 11/07/2023</t>
  </si>
  <si>
    <t>Xây dựng hê thống PCCC trường MN Tuổi Thơ</t>
  </si>
  <si>
    <t>25/10/2023-20/12/2023</t>
  </si>
  <si>
    <t>3538/QĐ-UBND
28/11/2022</t>
  </si>
  <si>
    <t>Nâng cấp mở rộng trường tiểu học Đông Thuận</t>
  </si>
  <si>
    <t>30/11/2023-28/5/2024</t>
  </si>
  <si>
    <t>5262/QĐ-UBND
16/10/2023</t>
  </si>
  <si>
    <t>Tuyến đường bê tông Vàm Mười Thước giáp Trường Xuân</t>
  </si>
  <si>
    <t>Ngày 14/7/2023 - 12/03/2024</t>
  </si>
  <si>
    <t>3542/QĐ-UBND 
ngày 29/11/2022</t>
  </si>
  <si>
    <t>Tuyến đường bê tông Bà Đầm (bên phải)</t>
  </si>
  <si>
    <t>05/09/2023 - 03/05/2024</t>
  </si>
  <si>
    <t>2429A/QĐ-UBND ngày 21/11/2022</t>
  </si>
  <si>
    <t>Tuyến đường bê tông Bốn Thước</t>
  </si>
  <si>
    <t>Ngày 01/6/2023 - 29/01/2024</t>
  </si>
  <si>
    <t>3445/QĐ-UBND
ngày 21/11/2022</t>
  </si>
  <si>
    <t>Tuyến cầu, đường kênh số 7 (bên phải)</t>
  </si>
  <si>
    <t>22/9/2023-20/5/2024</t>
  </si>
  <si>
    <t>3437 ngày 18/11/2022</t>
  </si>
  <si>
    <t>Nâng cấp tuyến đường từ ngã tư Nhà Thờ đến khu di tích Ông Đưa</t>
  </si>
  <si>
    <t>xã Định Môn</t>
  </si>
  <si>
    <t>14/6/2023--08/03/2024</t>
  </si>
  <si>
    <t xml:space="preserve">Số 3575A/QĐ-UBND ngày 30/11/2022
</t>
  </si>
  <si>
    <t xml:space="preserve">Tuyến cầu kênh KH5 </t>
  </si>
  <si>
    <t>Xã Đông Bình</t>
  </si>
  <si>
    <t>Ngày 7/4/2023 - 5/12/2023</t>
  </si>
  <si>
    <t>3444/QĐ-UBND ngày 21/11/2022</t>
  </si>
  <si>
    <t>Tuyến cầu, đường 4m Lò Mo - KH8</t>
  </si>
  <si>
    <t>Xã Trường Thành</t>
  </si>
  <si>
    <t>30/6/2023--06/5/2024</t>
  </si>
  <si>
    <t xml:space="preserve">Số 2930A/QĐ-UBND ngày 30/11/2022
</t>
  </si>
  <si>
    <t>Tuyến đường Rạch Nhum (Bên Phải)</t>
  </si>
  <si>
    <t xml:space="preserve">xã Thới Thạnh </t>
  </si>
  <si>
    <t>Ngày 7/12/2023 - 5/8/2024</t>
  </si>
  <si>
    <t xml:space="preserve">3437/QĐ-UBND ngày 18/11/2022 </t>
  </si>
  <si>
    <t>Di dời trụ điện trung thế rạch Bông Giếng</t>
  </si>
  <si>
    <t>11/11/2023--06/12/2023</t>
  </si>
  <si>
    <t xml:space="preserve">Số 3329/QĐ-UBND ngày 08/11/2022
</t>
  </si>
  <si>
    <t>Nâng cấp sửa chữa một cửa Ủy ban nhân dân huyện</t>
  </si>
  <si>
    <t>05/7/2023-25/8/2023</t>
  </si>
  <si>
    <t>3530/QĐ-UBND ngày 28/11/2022</t>
  </si>
  <si>
    <t>Cải tạo trung tâm chính trị huyện Thới Lai</t>
  </si>
  <si>
    <t>KC: 12/10/2023
HT: 29/4/2023</t>
  </si>
  <si>
    <t>3532 ngày 28/11/2022</t>
  </si>
  <si>
    <t>Sửa chữa trụ sở Huyện ủy Thới Lai</t>
  </si>
  <si>
    <t>KC: 25/10/2023
HT: 24/12/2023</t>
  </si>
  <si>
    <t>4940/QĐ-UBND ngày 02/10/2023</t>
  </si>
  <si>
    <t>Nâng cấp sửa chữa Trụ sở Đội cảnh sát phòng cháy chữa cháy và cứu nạn cứu hộ Công an huyện Thới Lai</t>
  </si>
  <si>
    <t>KC: 15/12/2023
HT: 01/5/2024</t>
  </si>
  <si>
    <t xml:space="preserve"> 5351/QĐ-UBND ngày 20/10/2023</t>
  </si>
  <si>
    <t>Nâng cấp mở rộng Trường tiểu học Đông Bình 3 ( Giai đoạn 2)</t>
  </si>
  <si>
    <t>KC: 27/8/2024
HT: 22/4/2025</t>
  </si>
  <si>
    <t>5700 ngày 17/11/2023</t>
  </si>
  <si>
    <t>Trường tiểu học Trường Xuân 2 ( Giai đoạn 3)</t>
  </si>
  <si>
    <t>KC: 13/12/2024
HT: 06/6/2025</t>
  </si>
  <si>
    <t>5683 ngày 15/11/2023</t>
  </si>
  <si>
    <t>Hệ thống phòng cháy chữa cháy trường tiểu học Thới Thạnh</t>
  </si>
  <si>
    <t>20/6/2024-30/8/2024</t>
  </si>
  <si>
    <t>5649/QĐ-UBND
13/11/2023</t>
  </si>
  <si>
    <t>Nâng cấp mở rộng trường tiểu học Trường Xuân A</t>
  </si>
  <si>
    <t>xã Trường Xuân A</t>
  </si>
  <si>
    <t>25/3/2024-25/4/2025</t>
  </si>
  <si>
    <t>5736/QĐ-UBND 
ngày 21/11/2023</t>
  </si>
  <si>
    <t>Xây dựng nhà xe giáo viên, sân, hệ thống thoát nước, hồ nước PCCC Trường tiểu học thị trấn Thới Lai 1</t>
  </si>
  <si>
    <t>TT Thới Lai</t>
  </si>
  <si>
    <t>KC: 07/12/2024 HT: 28/03/2025</t>
  </si>
  <si>
    <t xml:space="preserve"> Số 799 04/07/2024</t>
  </si>
  <si>
    <t xml:space="preserve">Tuyến cầu, đường Cồn Chen - Đông pháp </t>
  </si>
  <si>
    <t>26/03/2024 - 22/11/2024</t>
  </si>
  <si>
    <t xml:space="preserve">5733/QĐ-UBND ngày 21/11/2023 </t>
  </si>
  <si>
    <t>Tuyến đường bê tông kênh Xẻo Sào (bên phải)</t>
  </si>
  <si>
    <t>14/08/2024 - 12/02/2025</t>
  </si>
  <si>
    <t xml:space="preserve">5727/QĐ-UBND ngày 17/11/2023 </t>
  </si>
  <si>
    <t>Tuyến đường bê tông Xóm Mỹ</t>
  </si>
  <si>
    <t>05/11/2024--11/02/2025</t>
  </si>
  <si>
    <t xml:space="preserve">Số 488/QĐ-UBND ngày 24/4/2024
</t>
  </si>
  <si>
    <t>Nâng cấp vỉa hè đường chợ Thới Lai</t>
  </si>
  <si>
    <t>TT. Thới Lai</t>
  </si>
  <si>
    <t>06/12/2024--06/01/2025</t>
  </si>
  <si>
    <t xml:space="preserve">Số 798/QĐ-UBND ngày 04/7/2024
</t>
  </si>
  <si>
    <t>Kè gia cố chống sạt lỡ tuyến kênh Đông Pháp</t>
  </si>
  <si>
    <t>Xã Thới Tân</t>
  </si>
  <si>
    <t>05/12/2024--10/01/2025</t>
  </si>
  <si>
    <t xml:space="preserve">Số 797/QĐ-UBND ngày 04/7/2024
</t>
  </si>
  <si>
    <t>Nâng cấp sửa chữa các nhà văn hóa ấp xã Trường Xuân và cổng chào</t>
  </si>
  <si>
    <t>KC: 10/6/2024
HT: 09/9/2024</t>
  </si>
  <si>
    <t>5666 ngày 14/11/2023</t>
  </si>
  <si>
    <t>Nâng cấp sửa chữa các nhà văn hóa ấp xã Thới Thạnh</t>
  </si>
  <si>
    <t>11/06/2024-04/07/2024</t>
  </si>
  <si>
    <t>Số 5664/QĐ-UBND; 14/11/2023</t>
  </si>
  <si>
    <t>Sửa chữa trung tâm VHTT và đền thờ liệt sĩ thị trấn Thới Lai</t>
  </si>
  <si>
    <t>19/4/2024-27/6/2024</t>
  </si>
  <si>
    <t>5362/QĐ-UBND 
ngày 24/10/2023</t>
  </si>
  <si>
    <t>Sửa chữa trụ sở UBND xã Đông Bình</t>
  </si>
  <si>
    <t>17/6/2024-24/8/2024</t>
  </si>
  <si>
    <t>5669, ngày 15/11/2023</t>
  </si>
  <si>
    <t>Sửa chữa trụ sở UBND xã Trường Xuân A</t>
  </si>
  <si>
    <t>6/2024-8/2024</t>
  </si>
  <si>
    <t>5670/QĐ-UBND ngày 15/11/2023</t>
  </si>
  <si>
    <t>Sửa chữa trụ sở UBND thị trấn Thới Lai</t>
  </si>
  <si>
    <t>8/2/2024-07/5/2024</t>
  </si>
  <si>
    <t>5645/QĐ-UBND
10/11/2024</t>
  </si>
  <si>
    <t>Nâng cấp sửa chữa các hạng mục hiện trạng và trang thiết bị Công an thị trấn Thới Lai</t>
  </si>
  <si>
    <t>KC: 24/5/2024
HT: 28/6/2024</t>
  </si>
  <si>
    <t>5710 ngày 21/11/2023</t>
  </si>
  <si>
    <t>Sửa chữa Hội Trường huyện ủy Thới Lai</t>
  </si>
  <si>
    <t>22/10/2024-11/2/2025</t>
  </si>
  <si>
    <t>972/QĐ-UBND
16/8/2024</t>
  </si>
  <si>
    <t>Sửa chữa trạm y tế xã Tân Thạnh, trạm y tế xã Định Môn</t>
  </si>
  <si>
    <t>Xã Tân Thạnh, Định Môn</t>
  </si>
  <si>
    <t>16/02/2025-08/4/2025</t>
  </si>
  <si>
    <t>851,ngày 11/9/2024</t>
  </si>
  <si>
    <t>Sửa chữa đền thờ Châu Văn Liêm</t>
  </si>
  <si>
    <t>Xã Thới Thạnh</t>
  </si>
  <si>
    <t>KC: 21/2/2025
HT: 11/4/2025</t>
  </si>
  <si>
    <t>1534/QĐ-UBND ngày 21/11/2024</t>
  </si>
  <si>
    <t>Sửa chữa trụ sở UBND - HĐND huyện Thới Lai</t>
  </si>
  <si>
    <t>2/1/2025-18/2/2025</t>
  </si>
  <si>
    <t>4676/QĐ-UBND
05/12/2024</t>
  </si>
  <si>
    <t>Trang thiết bị Trung tâm chính trị huyện Thới Lai</t>
  </si>
  <si>
    <t>05/03/2025-20/03/2025</t>
  </si>
  <si>
    <t xml:space="preserve">Số 1595/QĐ-UBND; 28/11/2024 </t>
  </si>
  <si>
    <t>Sửa chữa trụ sở công an huyện</t>
  </si>
  <si>
    <t>Xã Tân Thạnh</t>
  </si>
  <si>
    <t>02/1/2025-7/3/2025</t>
  </si>
  <si>
    <t>1675/QĐ-UBND
5/12/2024</t>
  </si>
  <si>
    <t>Nâng cấp sửa chữa cổng chào các xã trên địa bàn huyện</t>
  </si>
  <si>
    <t>2022</t>
  </si>
  <si>
    <t>3407A ngày 07/12/2021</t>
  </si>
  <si>
    <t>Nâng cấp sửa chữa các nhà văn hóa ấp xã Tân Thạnh</t>
  </si>
  <si>
    <t>1893 ngày 21/6/2022</t>
  </si>
  <si>
    <t>Nâng cấp sửa chữa các nhà văn hóa ấp xã Xuân Thắng</t>
  </si>
  <si>
    <t>xã Xuân Thắng</t>
  </si>
  <si>
    <t>1862 ngày 16/6/2022</t>
  </si>
  <si>
    <t>Nâng cấp sửa chữa các nhà văn hóa ấp xã Trường Xuân A</t>
  </si>
  <si>
    <t>1861 ngày 16/6/2022</t>
  </si>
  <si>
    <t>Chỉnh lý tài liệu lưu trữ các xã, thị trấn</t>
  </si>
  <si>
    <t>5799 ngày 01/12/2023</t>
  </si>
  <si>
    <t>Xây dựng trường tiểu học thị trấn Thới Lai 2</t>
  </si>
  <si>
    <t xml:space="preserve"> Số 3333 02/12/2021</t>
  </si>
  <si>
    <t>Trung tâm giáo dục nghề nghiệp, giáo dục thường xuyên huyện Thới Lai</t>
  </si>
  <si>
    <t>KC: 04/09/2024
HT: 22/01/2026</t>
  </si>
  <si>
    <t>5699 ngày 17/11/2023</t>
  </si>
  <si>
    <t>Nâng cấp Trường tiểu học Định Môn 1</t>
  </si>
  <si>
    <t>24/12/2024-14/12/2025</t>
  </si>
  <si>
    <t>số 5704/QĐ-UBND; 20/11/2023</t>
  </si>
  <si>
    <t>Nâng cấp Trường trung học cơ sở Đông Thuận</t>
  </si>
  <si>
    <t>26/8/2024-28/5/2025</t>
  </si>
  <si>
    <t>5697, ngay2/112023</t>
  </si>
  <si>
    <t>Nâng cấp Trường trung học cơ sở Trường Xuân</t>
  </si>
  <si>
    <t>18/9/2024</t>
  </si>
  <si>
    <t>5696 ngày 16/11/2023</t>
  </si>
  <si>
    <t>Tuyến Bảy Ngàn (bên trái)</t>
  </si>
  <si>
    <t>16/12/2024--22/10/2025</t>
  </si>
  <si>
    <t xml:space="preserve">Số 5683/QĐ-UBND ngày 15/11/2023
</t>
  </si>
  <si>
    <t>Tuyến đường bê tông dôi Bà Đầm - Thị Đội</t>
  </si>
  <si>
    <t>05/11/2024--21/03/2025 (gia hạn đến 30/6/2025)</t>
  </si>
  <si>
    <t xml:space="preserve">Số 5079/QĐ-UBND ngày 20/11/2023
</t>
  </si>
  <si>
    <t>Tuyến cầu, đường Rạch Tra (bên phải)</t>
  </si>
  <si>
    <t>xã Thới Thạnh, xã Định Môn</t>
  </si>
  <si>
    <t>Ngày 11/9/2024 đến ngày 9/5/2025</t>
  </si>
  <si>
    <t>5729/QĐ-UBND
ngày 20/11/2023</t>
  </si>
  <si>
    <t>Tuyến đường bê tông Kênh Lầu Cây Mít - KH7 (bên phải)</t>
  </si>
  <si>
    <t>06/11/2024 - 12/9/2025</t>
  </si>
  <si>
    <t xml:space="preserve">5730/QĐ-UBND ngày 20/11/2023 </t>
  </si>
  <si>
    <t>Tuyến đường bê tông Kênh 5 (bên trái)</t>
  </si>
  <si>
    <t>24/12/2024-30/11/2025</t>
  </si>
  <si>
    <t>5731/QĐ-UBND
ngày 15/11/2023</t>
  </si>
  <si>
    <t>Tuyến đường bê tông kênh Tư Ký (bên phải)</t>
  </si>
  <si>
    <t>Ngày 25/10/2024 đến ngày 23/6/2025</t>
  </si>
  <si>
    <t>5731/QĐ-UBND
ngày 20/11/2023</t>
  </si>
  <si>
    <t>Tuyến cầu rạch Ông Chủ (bên trái)</t>
  </si>
  <si>
    <t>793 ngày 03/7/2024</t>
  </si>
  <si>
    <t>Kè chống sạt lở và di dời trụ điện tuyến Tân Thạnh - thị trấn Thới Lai - Thới Tân</t>
  </si>
  <si>
    <t>Xã Tân Thạnh, xã Thới Tân, thị trấn Thới Lai</t>
  </si>
  <si>
    <t>782 ngày 01/7/2024</t>
  </si>
  <si>
    <t>Trường trung học cơ sở Trường Thắng</t>
  </si>
  <si>
    <t>Xã Trường Thắng</t>
  </si>
  <si>
    <t>810 ngày 04/9/2024</t>
  </si>
  <si>
    <t>Xây dựng hệ thống phòng cháy chữa cháy các trường mầm non đạt chuẩn quốc gia</t>
  </si>
  <si>
    <t>1544 ngày 25/11/2024</t>
  </si>
  <si>
    <t>Nâng cấp mở rộng trường trung học cơ sở thị trấn Thới Lai</t>
  </si>
  <si>
    <t xml:space="preserve"> Số 1667 04/12/2024</t>
  </si>
  <si>
    <t>Sửa chữa trường tiểu học Định Môn 2</t>
  </si>
  <si>
    <t>26/5/2025</t>
  </si>
  <si>
    <t>1541/QĐ-UBND
22/11/2024</t>
  </si>
  <si>
    <t>Mua sắm trang thiết bị phục vụ thay sách các trường mầm non, tiểu học, trung học cơ sở (giai đoạn 4)</t>
  </si>
  <si>
    <t>Số: 230/QĐ-BQLDA&amp;PTQĐ; 23/5/2025</t>
  </si>
  <si>
    <t>Sửa chữa trường tiểu học Trường Xuân B</t>
  </si>
  <si>
    <t>Số 1677/QĐ-UBND ngày 5/12/2024</t>
  </si>
  <si>
    <t>Sửa chữa trường tiểu học Xuân Thắng</t>
  </si>
  <si>
    <t>Số 1588/QĐ-UBND ngày 26/11/2024</t>
  </si>
  <si>
    <t>Nâng cấp mở rộng trường tiểu học Trường Xuân 1</t>
  </si>
  <si>
    <t>Xã Trường Xuân</t>
  </si>
  <si>
    <t>Số 5704/QĐ-UBND; 20/11/2023</t>
  </si>
  <si>
    <t>Tuyến đường KH7 (bên phải) (GĐ2)</t>
  </si>
  <si>
    <t>24/6/2025-30/4/2026</t>
  </si>
  <si>
    <t xml:space="preserve">1573/QĐ-UBND ngày 27/11/2024 </t>
  </si>
  <si>
    <t>Tuyến đường Vàm Đinh Rạch Đình (GĐ2)</t>
  </si>
  <si>
    <t>06/6/2025-12/4/2026</t>
  </si>
  <si>
    <t xml:space="preserve">1584/QĐ-UBND ngày 28/11/2024 </t>
  </si>
  <si>
    <t>Xây dựng cầu Trà Keo và di dời lưới điện tuyến Rạch Nhum</t>
  </si>
  <si>
    <t>1580 ngày 28/11/2024</t>
  </si>
  <si>
    <t>Chuyển đổi số lĩnh vực Giáo dục và Đào tạo huyện Thới Lai (Giai đoạn 1)</t>
  </si>
  <si>
    <t>1424/QĐ-UBND
8/11/2024</t>
  </si>
  <si>
    <t>****</t>
  </si>
  <si>
    <t>Công trình dừng thực hiện</t>
  </si>
  <si>
    <t>Sửa chữa trụ sở trung tâm văn hóa thể thao huyện</t>
  </si>
  <si>
    <t>tạm dừng</t>
  </si>
  <si>
    <t>Xây dựng cổng chào thị trấn Thới Lai</t>
  </si>
  <si>
    <t>1517, ngày 18/11/2024</t>
  </si>
  <si>
    <t>Các cổng chào huyện nông thôn mới nâng cao</t>
  </si>
  <si>
    <t>1534, ngày 22/11/2024</t>
  </si>
  <si>
    <t>Xây dựng trụ sở công an xã Trường Thắng</t>
  </si>
  <si>
    <t>Số 1690/QĐ-UBND ngày 05/12/2024</t>
  </si>
  <si>
    <t>Sửa chữa cơ quan quân sự xã Thới Tân</t>
  </si>
  <si>
    <t>1589, ngay2/11/2024</t>
  </si>
  <si>
    <t>Sửa chữa trụ sở công an xã Xuân Thắng</t>
  </si>
  <si>
    <t>Ban Quản lý dự án đầu tư xây dựng khu vực Vĩnh Thạnh</t>
  </si>
  <si>
    <t>Điều chỉnh quy hoạch chung thị trấn Vĩnh Thạnh, huyện Vĩnh Thạnh, thành phố Cần Thơ.</t>
  </si>
  <si>
    <t>TT Vĩnh Thạnh</t>
  </si>
  <si>
    <t>số 1796
31/8/2020</t>
  </si>
  <si>
    <t>Điều chỉnh quy hoạch chung thị trấn Thạnh An, huyện Vĩnh Thạnh, thành phố Cần Thơ.</t>
  </si>
  <si>
    <t>Xã Thạnh An</t>
  </si>
  <si>
    <t>Số 1794
31/8/2020</t>
  </si>
  <si>
    <t>Điều chỉnh Quy hoạch chi tiết trung tâm hành xã Thạnh Lộc</t>
  </si>
  <si>
    <t>Xã Thạnh Lộc</t>
  </si>
  <si>
    <t>Số 5682
07/12/2023</t>
  </si>
  <si>
    <t>Điều chỉnh Quy hoạch chi tiết trung tâm hành xã Vĩnh Bình</t>
  </si>
  <si>
    <t>Xã Vĩnh Bình</t>
  </si>
  <si>
    <t>Số 5683
07/12/2023</t>
  </si>
  <si>
    <t>Điều chỉnh Quy hoạch chi tiết trung tâm hành xã Thạnh Mỹ</t>
  </si>
  <si>
    <t>Xã Thạnh Mỹ</t>
  </si>
  <si>
    <t>Số 5684
07/12/2023</t>
  </si>
  <si>
    <t>Điều chỉnh Quy hoạch chi tiết trung tâm hành xã Vĩnh Trinh</t>
  </si>
  <si>
    <t>Xã Vĩnh Trinh</t>
  </si>
  <si>
    <t>Số 5685
07/12/2023</t>
  </si>
  <si>
    <t>Điều chỉnh Quy hoạch chi tiết trung tâm hành xã Thạnh Quới</t>
  </si>
  <si>
    <t>Xã Thạnh Quới</t>
  </si>
  <si>
    <t>Số 5686
07/12/2023</t>
  </si>
  <si>
    <t>Điều chỉnh Quy hoạch chi tiết trung tâm hành xã Thạnh Tiến</t>
  </si>
  <si>
    <t>Xã Thạnh Tiến</t>
  </si>
  <si>
    <t>Số 5687
07/12/2023</t>
  </si>
  <si>
    <t>Điều chỉnh Quy hoạch chi tiết trung tâm hành xã Thạnh An</t>
  </si>
  <si>
    <t>Số 5688
07/12/2023</t>
  </si>
  <si>
    <t>Điều chỉnh Quy hoạch chi tiết trung tâm hành xã Thạnh Thắng</t>
  </si>
  <si>
    <t>Xã Thạnh Thắng</t>
  </si>
  <si>
    <t>Số 5689
07/12/2023</t>
  </si>
  <si>
    <t>Điều chỉnh Quy hoạch chi tiết trung tâm hành xã Thạnh Lợi</t>
  </si>
  <si>
    <t>Xã Thạnh Lợi</t>
  </si>
  <si>
    <t>Số 5690
07/12/2023</t>
  </si>
  <si>
    <t xml:space="preserve">Lập điều chỉnh Quy hoạch sử dụng đất đến năm 2030 và Kế hoạch sử dụng đất năm đầu của điều chỉnh quy hoạch sử dụng đất huyện Vĩnh Thạnh </t>
  </si>
  <si>
    <t>huyện Vĩnh Thạnh</t>
  </si>
  <si>
    <t>2758/QĐ-UBND ngày 25 tháng 7 năm 2024</t>
  </si>
  <si>
    <t>Nâng cấp mở rộng đường tỉnh 916 (từ QL 80 đến ngã ba Thạnh Lợi)</t>
  </si>
  <si>
    <t>7818/QĐ-UBND 
ngày 28/10/2021</t>
  </si>
  <si>
    <t>Nâng cấp mở rộng Đường kênh C1 (phía C giáp B) thị trấn Thạnh An - xã Thạnh Lợi</t>
  </si>
  <si>
    <t>8496/QĐ-UBND ngày 31/12/2021</t>
  </si>
  <si>
    <t>Đường kênh Láng Sen (bờ phải) (bờ phải theo hướng từ Thạnh Quới xuống) từ UBND xã Thạnh Quới - Cầu Láng Chim)</t>
  </si>
  <si>
    <t>2192/QĐ-UBND ngày 27 tháng 6 năm 2023</t>
  </si>
  <si>
    <t>Nâng cấp mở rộng Đường kênh F1 (phía F giáp G) xã Thạnh An</t>
  </si>
  <si>
    <t>801/QĐ-UBND ngày 29 tháng 02 năm 2024</t>
  </si>
  <si>
    <t>Nâng cấp mở rộng Đường T7 (đoạn từ UBND xã Thạnh Lộc - Quốc Lộ 80)</t>
  </si>
  <si>
    <t>1687/QĐ-UBND ngày 07 tháng 5 năm 2024</t>
  </si>
  <si>
    <t>Nâng cấp, mở rộng đường Kênh Bốn Tổng</t>
  </si>
  <si>
    <t>8156/QĐ-UBND ngày 03/12/2021</t>
  </si>
  <si>
    <t>Đường vào Trung tâm hành chính thị trấn Vĩnh Thạnh</t>
  </si>
  <si>
    <t>2023-2026</t>
  </si>
  <si>
    <t>18/NQ-HĐND ngày15/11/2024</t>
  </si>
  <si>
    <t>Tuyến nối từ đoạn 1,6 km đến ranh huyện Thoại Sơn, An Giang</t>
  </si>
  <si>
    <t>773/QĐ-UBND ngày 26/02/2025 (Đc)</t>
  </si>
  <si>
    <t xml:space="preserve">Sửa chữa Bệnh viện đa khoa huyện </t>
  </si>
  <si>
    <t>2980/QĐ-UBND ngày 09/08/2024</t>
  </si>
  <si>
    <t>Dự án Kè chống sạt lở trên tuyến kênh Cái Sắn (bờ bắc) những đoạn sạt lở thuộc địa bàn các xã, thị trấn</t>
  </si>
  <si>
    <t>2340/QĐ-UBND ngày 31 tháng 5 năm 2022</t>
  </si>
  <si>
    <t>Mở rộng, sửa chữa Trường Tiểu học thị trấn Thạnh An 1  (điểm ấp Phụng Quới A)</t>
  </si>
  <si>
    <t>TT Thạnh An</t>
  </si>
  <si>
    <t>1906/QĐ-UBND ngày 22/6/2021</t>
  </si>
  <si>
    <t>Sửa chữa, mua sắm thiết bị Trường mầm non Vĩnh Bình</t>
  </si>
  <si>
    <t>7959A/QĐ-UBND ngày 10/11/2021</t>
  </si>
  <si>
    <t>Thiết bị dạy học tối thiểu lớp 4 - lớp 8</t>
  </si>
  <si>
    <t>2871/QĐ-UBND ngày 06/8/2024</t>
  </si>
  <si>
    <t>Thiết bị tối thiểu lớp 5 - lớp 9</t>
  </si>
  <si>
    <t>8142/QĐ-UBND ngày 03/12/2021</t>
  </si>
  <si>
    <t xml:space="preserve">Trường Tiểu học TTr Vĩnh Thạnh </t>
  </si>
  <si>
    <t>706/QĐ-UBND ngày 25/04/2025</t>
  </si>
  <si>
    <t>Trường Mầm non TTr Thạnh An</t>
  </si>
  <si>
    <t>Số: 620/QĐ-UBND ngày 23/4/2025</t>
  </si>
  <si>
    <t>Nâng cấp, mở rộng Trường Tiểu học và Trung học cơ sở Thạnh Lợi</t>
  </si>
  <si>
    <t>2191/QĐ-UBND ngày 27 tháng 6 năm 2023</t>
  </si>
  <si>
    <t>Nâng cấp, mở rộng Trường trung học cơ sở Vĩnh Bình</t>
  </si>
  <si>
    <t>1632/QĐ-UBND ngày 26 tháng 5 năm 2023</t>
  </si>
  <si>
    <t>Trường TH Thạnh Quới 1 (điểm trung tâm); Hạng mục: 05 phòng học, 10 phòng chức năng</t>
  </si>
  <si>
    <t>2088/QĐ-UBND ngày 11 tháng 6 năm 2024</t>
  </si>
  <si>
    <t>Trường Mầm non Thạnh Quới  (điểm trung tâm); Hạng mục: 02 phòng học, 03 phòng chức năng</t>
  </si>
  <si>
    <t>4232/QĐ-UBND 24/10/2024</t>
  </si>
  <si>
    <t>Mua sắm thiết bị cho các trường Mầm non trên địa bàn huyện</t>
  </si>
  <si>
    <t>2408/QĐ-UBND ngày 08/7/2024</t>
  </si>
  <si>
    <t>Sửa chữa Trường Tiểu học Thạnh Thắng  (4 điểm trường)</t>
  </si>
  <si>
    <t>143/QĐ-UBND ngày 19/03/2025</t>
  </si>
  <si>
    <t>Nâng cấp, cải tạo, mở rộng Trường Mầm non thị trấn Vĩnh Thạnh</t>
  </si>
  <si>
    <t>150/QĐ-UBND ngày 19/03/2025</t>
  </si>
  <si>
    <t>Nâng cấp, cải tạo, mở rộng Trường THCS Thạnh Tiến</t>
  </si>
  <si>
    <t>145/QĐ-UBND ngày 19/03/2025</t>
  </si>
  <si>
    <t>Sửa chữa Trường Tiểu học Vĩnh Trinh 1</t>
  </si>
  <si>
    <t>Số: 960/QĐ-UBND ngày 13/5/2025</t>
  </si>
  <si>
    <t>Sửa chữa Trường Tiểu học Vĩnh Trinh 3</t>
  </si>
  <si>
    <t>144/QĐ-UBND ngày 19/3/2025</t>
  </si>
  <si>
    <t>Sửa chữa Trường Tiểu học Thạnh Lộc 1</t>
  </si>
  <si>
    <t>Số: 146/QĐ-UBND ngày 19/3/2025</t>
  </si>
  <si>
    <t>Sửa chữa Trường Tiểu học Thạnh Mỹ</t>
  </si>
  <si>
    <t>Số: 158/QĐ-UBND ngày 20/3/2026</t>
  </si>
  <si>
    <t>Sửa chữa Trường Tiểu học Thạnh Quới 1</t>
  </si>
  <si>
    <t>229/QĐ-UBND ngày 25/03/2025</t>
  </si>
  <si>
    <t>Sửa chữa Trường Tiểu học Thạnh Tiến</t>
  </si>
  <si>
    <t>154/QĐ-UBND ngày 19/03/2025</t>
  </si>
  <si>
    <t>Mua sắm thiết bị khối Tiểu học và Trung học cơ sở</t>
  </si>
  <si>
    <t>154/QĐ-UBND ngày 19/3/2025</t>
  </si>
  <si>
    <t>Trung tâm văn hóa xã Vĩnh Bình</t>
  </si>
  <si>
    <t>3153/QĐ-UBND ngày 31 tháng 7 năm 2023</t>
  </si>
  <si>
    <t>Trung tâm văn hóa xã Thạnh Tiến</t>
  </si>
  <si>
    <t>2618/QĐ-UBND ngày 17 tháng 7 năm 2024</t>
  </si>
  <si>
    <t>Trung tâm văn hóa xã Thạnh Mỹ</t>
  </si>
  <si>
    <t>2090/QĐ-UBND ngày 11 tháng 6 năm 2024</t>
  </si>
  <si>
    <t>Trung tâm văn hóa xã Vĩnh Trinh</t>
  </si>
  <si>
    <t>1866/QĐ-UBND ngày 22/5/2024</t>
  </si>
  <si>
    <t>Trung tâm văn hóa xã Thạnh Quới</t>
  </si>
  <si>
    <t>2616/QĐ-UBND ngày 16 tháng 7 năm 2024</t>
  </si>
  <si>
    <t>Trang trí đèn hoa nghệ thuật Mừng Đảng quang vinh - Mừng Xuân Ất Tỵ năm 2025</t>
  </si>
  <si>
    <t>3820/QĐ-UBND ngày 08/10/2024</t>
  </si>
  <si>
    <t>Hệ thống thoát nước thải khu vực trung tâm hành chính xã Thạnh Thắng</t>
  </si>
  <si>
    <t>Số: 5213A/QĐ-UBND ngày 26/12/2024</t>
  </si>
  <si>
    <t>Sửa chữa Trụ sở Huyện ủy</t>
  </si>
  <si>
    <t>2089/QĐ-UBND ngày 11 tháng 6 năm 2024</t>
  </si>
  <si>
    <t>Sửa chữa Trụ sở HĐND &amp; UBND huyện</t>
  </si>
  <si>
    <t>1932/QĐ-UBND ngày 27 tháng 5 năm 2024</t>
  </si>
  <si>
    <t>Sữa chữa Trụ sở Ủy ban nhân dân thị trấn Vĩnh Thạnh, nhà thông tin ấp và một số nội dung về văn hóa, thông tin</t>
  </si>
  <si>
    <t>3878/QĐ-UBND 14/10/2024</t>
  </si>
  <si>
    <t>Sữa chữa Trụ sở Ủy ban nhân dân thị trấn Thạnh An, nhà thông tin ấp và một số nội dung về văn hóa, thông tin</t>
  </si>
  <si>
    <t>3877/QĐ-UBND 14/10/2024</t>
  </si>
  <si>
    <t>Mua sắm thiết bị phục vụ dạy học cho Trung tâm Giáo dục nghề nghiệp - Giáo dục thường xuyên huyện Vĩnh Thạnh</t>
  </si>
  <si>
    <t>453/QĐ-UBND ngày 04/4/2025</t>
  </si>
  <si>
    <t>Khu tái định cư phục vụ Khu công nghiệp Vĩnh Thạnh (giai đoạn 2)</t>
  </si>
  <si>
    <t>2025-2028</t>
  </si>
  <si>
    <t>Sửa chữa trụ sở Công an xã Thạnh Lợi</t>
  </si>
  <si>
    <t>777/QĐ-UBND ngày 16/3/2023</t>
  </si>
  <si>
    <t>Sửa chữa trụ sở BCHQS thị trấn Vĩnh Thạnh</t>
  </si>
  <si>
    <t>1437/QĐ-UBND ngày 19/4/2024</t>
  </si>
  <si>
    <t>Sửa chữa trụ sở BCHQS thị trấn Thạnh An</t>
  </si>
  <si>
    <t>1425/QĐ-UBND ngày 17/4/2024</t>
  </si>
  <si>
    <t>Cải tạo Khu dân cư số 8, xã Thạnh Mỹ</t>
  </si>
  <si>
    <t xml:space="preserve">2806/QĐ-UBND ngày 31/7/2024 </t>
  </si>
  <si>
    <t>Cải tạo Khu dân cư xã Thạnh An</t>
  </si>
  <si>
    <t>2741/QĐ-UBND ngày 24/7/2024</t>
  </si>
  <si>
    <t>Cải tạo Khu dân cư xã Thạnh Thắng</t>
  </si>
  <si>
    <t xml:space="preserve">2780/QĐ-UBND ngày 29/7/2024 </t>
  </si>
  <si>
    <t>Cắm mốc và cọc tiêu bảo vệ hành lang các tuyến đường trên địa bàn huyện</t>
  </si>
  <si>
    <t>Số 2922/QĐ-UBND
ngày 06/8/2024</t>
  </si>
  <si>
    <t>Cải tạo Khu dân cư xã Thạnh Lộc</t>
  </si>
  <si>
    <t>763/QĐ-UBND
 ngày 05/5/2025</t>
  </si>
  <si>
    <t>3239/QĐ-UBND ngày 28/8/2024</t>
  </si>
  <si>
    <t>Vốn ủy thác Quỹ hỗ trợ nông dân</t>
  </si>
  <si>
    <t>3240/QĐ-UBND ngày 28/8/2024</t>
  </si>
  <si>
    <t>Dự án dừng thực hiện</t>
  </si>
  <si>
    <t>Hệ thống loa truyền thanh thông minh</t>
  </si>
  <si>
    <t>4632/QĐ-UBND ngày 28/11/2024</t>
  </si>
  <si>
    <t>Mua sắm thiết bị Trung tâm văn hóa xã Thạnh Tiến</t>
  </si>
  <si>
    <t>3234/QĐ-UBND ngày 28/8/2024</t>
  </si>
  <si>
    <t>Mua sắm thiết bị Trung tâm văn hóa xã Thạnh Quới</t>
  </si>
  <si>
    <t>3235/QĐ-UBND ngày 28/8/2024</t>
  </si>
  <si>
    <t>Mua sắm thiết bị Trung tâm văn hóa xã Thạnh Mỹ</t>
  </si>
  <si>
    <t>3236/QĐ-UBND ngày 28/8/2024</t>
  </si>
  <si>
    <t>III</t>
  </si>
  <si>
    <t>Vốn phân bổ theo tiêu chí định mức cho cấp huyện (cũ) đã thực hiện giai đoạn 2021-2024</t>
  </si>
  <si>
    <t>Vốn theo tiêu chí định mức đã phân bổ 2021-2024 của UBND quận Ninh Kiều (cũ)</t>
  </si>
  <si>
    <t>Vốn theo tiêu chí định mức đã phân bổ 2021-2024 của UBND quận Bình (cũ)</t>
  </si>
  <si>
    <t>Vốn theo tiêu chí định mức đã phân bổ 2021-2024 của UBND quận Cái Răng (cũ)</t>
  </si>
  <si>
    <t>Vốn theo tiêu chí định mức đã phân bổ 2021-2024 của UBND quận Ô Môn (cũ)</t>
  </si>
  <si>
    <t>Vốn theo tiêu chí định mức đã phân bổ 2021-2024 của UBND quận Thốt Nốt (cũ)</t>
  </si>
  <si>
    <t xml:space="preserve">Vốn theo tiêu chí định mức đã phân bổ 2021-2024 của UBND huyện Phong Điền (cũ) </t>
  </si>
  <si>
    <t>Vốn theo tiêu chí định mức đã phân bổ 2021-2024 của UBND huyện Cờ Đỏ (cũ)</t>
  </si>
  <si>
    <t>Vốn theo tiêu chí định mức đã phân bổ 2021-2024 của UBND huyện Thới Lai (cũ)</t>
  </si>
  <si>
    <t>Vốn theo tiêu chí định mức đã phân bổ 2021-2024 của UBND huyện Vĩnh Thạnh (cũ)</t>
  </si>
  <si>
    <t>Vốn ủy thác qua Ngân hàng Chính sách Xã hội khu vực thốt nốt</t>
  </si>
  <si>
    <t>Nâng cấp, cải tạo nhà ăn Ban CHQS huyện Phong Điền</t>
  </si>
  <si>
    <t>Cấp vốn ủy thác cho Chi nhánh Ngân hàng Chính sách xã hội quận Ninh Kiều</t>
  </si>
  <si>
    <t>Quỹ hỗ trợ nông dân (Phong Điền)</t>
  </si>
  <si>
    <t>Vốn ủy thác qua Ngân hàng Chính sách xã hội huyện Vĩnh thạnh</t>
  </si>
  <si>
    <t>Kinh phí tạo lập Quỹ hỗ trợ nông dân năm 2025 cờ đỏ</t>
  </si>
  <si>
    <t xml:space="preserve">Quỹ hỗ trợ nông dân </t>
  </si>
  <si>
    <t>Địa điểm xây dựng (tên địa danh hành chính cũ)</t>
  </si>
  <si>
    <t xml:space="preserve">DANH MỤC DỰ ÁN DỰ KIẾN KẾ HOẠCH VỐN ĐẦU TƯ CÔNG TRUNG HẠN GIAI ĐOẠN 2021 - 2025 PHÂN THEO NGÀNH - LĨNH VỰC </t>
  </si>
  <si>
    <t>Nâng cấp đường Hai Bà Trưng (đoạn từ Nhà khách số 2 đến đường Phan Đình Phùng) và đường Nguyễn Thị Minh Khai</t>
  </si>
  <si>
    <t>2024</t>
  </si>
  <si>
    <t>PHỤ LỤC I - CANTHO</t>
  </si>
  <si>
    <t xml:space="preserve">Đầu tư khác </t>
  </si>
  <si>
    <t>Chi tiết theo văn bản riêng</t>
  </si>
  <si>
    <t>(Kèm theo Nghị quyết số                         /NQ-HĐND ngày             tháng      năm 2025 của Hội đồng nhân dân thành phố Cần Thơ)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</si>
</sst>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 _₫_-;\-* #,##0.00\ _₫_-;_-* &quot;-&quot;??\ _₫_-;_-@_-"/>
    <numFmt numFmtId="164" formatCode="_-* #,##0_-;\-* #,##0_-;_-* &quot;-&quot;_-;_-@_-"/>
    <numFmt numFmtId="165" formatCode="_-* #,##0.00_-;\-* #,##0.00_-;_-* &quot;-&quot;??_-;_-@_-"/>
    <numFmt numFmtId="166" formatCode="_(* #,##0_);_(* \(#,##0\);_(* &quot;-&quot;??_);_(@_)"/>
    <numFmt numFmtId="167" formatCode="_(* #,##0.00_);_(* \(#,##0.00\);_(* &quot;-&quot;??_);_(@_)"/>
    <numFmt numFmtId="168" formatCode="_-* #,##0\ _₫_-;\-* #,##0\ _₫_-;_-* &quot;-&quot;??\ _₫_-;_-@_-"/>
    <numFmt numFmtId="169" formatCode="_(&quot;$&quot;* #,##0_);_(&quot;$&quot;* \(#,##0\);_(&quot;$&quot;* &quot;-&quot;_);_(@_)"/>
    <numFmt numFmtId="170" formatCode="#,##0_ ;\-#,##0\ "/>
    <numFmt numFmtId="171" formatCode="_-* #,##0.00\ _V_N_D_-;\-* #,##0.00\ _V_N_D_-;_-* &quot;-&quot;??\ _V_N_D_-;_-@_-"/>
    <numFmt numFmtId="172" formatCode="&quot;$&quot;#,##0;[Red]\-&quot;$&quot;#,##0"/>
    <numFmt numFmtId="173" formatCode="_(* #.##0.00_);_(* \(#.##0.00\);_(* &quot;-&quot;??_);_(@_)"/>
    <numFmt numFmtId="174" formatCode="&quot;\&quot;#,##0;[Red]&quot;\&quot;\-#,##0"/>
    <numFmt numFmtId="175" formatCode="_-* #,##0\ _₫_-;\-* #,##0\ _₫_-;_-* &quot;-&quot;??\ _₫_-;_-@"/>
    <numFmt numFmtId="176" formatCode="#,##0\ &quot;công trình&quot;"/>
    <numFmt numFmtId="177" formatCode="_(* #,##0.000_);_(* \(#,##0.000\);_(* &quot;-&quot;??_);_(@_)"/>
    <numFmt numFmtId="178" formatCode="0_);\(0\)"/>
    <numFmt numFmtId="179" formatCode="#,##0;[Red]#,##0"/>
  </numFmts>
  <fonts count="50">
    <font>
      <sz val="11"/>
      <color theme="1"/>
      <name val="Calibri"/>
      <family val="2"/>
      <charset val="163"/>
      <scheme val="minor"/>
    </font>
    <font>
      <sz val="11"/>
      <color theme="1"/>
      <name val="Calibri"/>
      <family val="2"/>
      <charset val="163"/>
      <scheme val="minor"/>
    </font>
    <font>
      <sz val="11"/>
      <color theme="0"/>
      <name val="Calibri"/>
      <family val="2"/>
      <charset val="163"/>
      <scheme val="minor"/>
    </font>
    <font>
      <b/>
      <sz val="14"/>
      <name val="Times New Roman"/>
      <family val="1"/>
      <charset val="163"/>
    </font>
    <font>
      <b/>
      <sz val="11"/>
      <name val="Times New Roman"/>
      <family val="1"/>
      <charset val="163"/>
    </font>
    <font>
      <sz val="11"/>
      <name val="Times New Roman"/>
      <family val="1"/>
      <charset val="163"/>
    </font>
    <font>
      <i/>
      <sz val="11"/>
      <name val="Times New Roman"/>
      <family val="1"/>
      <charset val="163"/>
    </font>
    <font>
      <b/>
      <sz val="11"/>
      <color theme="0"/>
      <name val="Times New Roman"/>
      <family val="1"/>
      <charset val="163"/>
    </font>
    <font>
      <sz val="11"/>
      <color theme="0"/>
      <name val="Times New Roman"/>
      <family val="1"/>
      <charset val="163"/>
    </font>
    <font>
      <sz val="10"/>
      <name val="Arial"/>
      <family val="2"/>
      <charset val="163"/>
    </font>
    <font>
      <sz val="11"/>
      <name val="Times New Roman"/>
      <family val="1"/>
    </font>
    <font>
      <sz val="11"/>
      <color theme="1"/>
      <name val="Calibri"/>
      <family val="2"/>
      <scheme val="minor"/>
    </font>
    <font>
      <sz val="11"/>
      <color theme="0"/>
      <name val="Times New Roman"/>
      <family val="1"/>
    </font>
    <font>
      <sz val="11"/>
      <color indexed="8"/>
      <name val="Calibri"/>
      <family val="2"/>
      <charset val="163"/>
    </font>
    <font>
      <sz val="11"/>
      <color indexed="8"/>
      <name val="Calibri"/>
      <family val="2"/>
    </font>
    <font>
      <sz val="12"/>
      <name val="Arial"/>
      <family val="2"/>
      <charset val="163"/>
    </font>
    <font>
      <sz val="11"/>
      <color indexed="8"/>
      <name val="Arial"/>
      <family val="2"/>
      <charset val="163"/>
    </font>
    <font>
      <b/>
      <sz val="11"/>
      <name val="Times New Roman"/>
      <family val="1"/>
    </font>
    <font>
      <sz val="10"/>
      <name val="VNI-Times"/>
    </font>
    <font>
      <sz val="12"/>
      <name val="VNI-Times"/>
    </font>
    <font>
      <b/>
      <sz val="11"/>
      <color theme="0"/>
      <name val="Times New Roman"/>
      <family val="1"/>
    </font>
    <font>
      <sz val="11"/>
      <color indexed="8"/>
      <name val="Helvetica Neue"/>
    </font>
    <font>
      <sz val="10"/>
      <name val="Arial"/>
      <family val="2"/>
    </font>
    <font>
      <sz val="11"/>
      <name val="Calibri"/>
      <family val="2"/>
      <charset val="163"/>
      <scheme val="minor"/>
    </font>
    <font>
      <sz val="10"/>
      <name val="MS Sans Serif"/>
      <family val="2"/>
    </font>
    <font>
      <u/>
      <sz val="11"/>
      <name val="Times New Roman"/>
      <family val="1"/>
    </font>
    <font>
      <b/>
      <i/>
      <sz val="11"/>
      <name val="Times New Roman"/>
      <family val="1"/>
    </font>
    <font>
      <i/>
      <sz val="11"/>
      <name val="Times New Roman"/>
      <family val="1"/>
    </font>
    <font>
      <sz val="10"/>
      <name val="Helv"/>
      <family val="2"/>
    </font>
    <font>
      <b/>
      <sz val="12"/>
      <name val="Times New Roman"/>
      <family val="1"/>
      <charset val="163"/>
    </font>
    <font>
      <sz val="12"/>
      <name val="Times New Roman"/>
      <family val="1"/>
      <charset val="163"/>
    </font>
    <font>
      <b/>
      <sz val="12"/>
      <name val="Times New Roman"/>
      <family val="1"/>
    </font>
    <font>
      <sz val="14"/>
      <name val=".VnTime"/>
      <family val="2"/>
    </font>
    <font>
      <sz val="14"/>
      <color theme="1"/>
      <name val="Times New Roman"/>
      <family val="2"/>
      <charset val="163"/>
    </font>
    <font>
      <sz val="9"/>
      <name val="Arial"/>
      <family val="2"/>
    </font>
    <font>
      <sz val="12"/>
      <color theme="1"/>
      <name val="Times New Roman"/>
      <family val="2"/>
    </font>
    <font>
      <sz val="12"/>
      <name val="VNI-Book"/>
    </font>
    <font>
      <sz val="11"/>
      <color theme="1"/>
      <name val="Calibri"/>
      <family val="2"/>
    </font>
    <font>
      <sz val="12"/>
      <color theme="1"/>
      <name val="Times New Roman"/>
      <family val="1"/>
    </font>
    <font>
      <b/>
      <sz val="9"/>
      <color indexed="81"/>
      <name val="Tahoma"/>
      <family val="2"/>
    </font>
    <font>
      <sz val="9"/>
      <color indexed="81"/>
      <name val="Tahoma"/>
      <family val="2"/>
    </font>
    <font>
      <sz val="11"/>
      <name val="TimesNewRomanPSMT"/>
      <charset val="163"/>
    </font>
    <font>
      <b/>
      <i/>
      <sz val="11"/>
      <color theme="0"/>
      <name val="Times New Roman"/>
      <family val="1"/>
    </font>
    <font>
      <b/>
      <sz val="14"/>
      <name val="Times New Roman"/>
      <family val="1"/>
    </font>
    <font>
      <sz val="11"/>
      <color rgb="FFFF0000"/>
      <name val="Times New Roman"/>
      <family val="1"/>
    </font>
    <font>
      <sz val="10"/>
      <name val="Times New Roman"/>
      <family val="1"/>
    </font>
    <font>
      <sz val="10"/>
      <name val="Times New Roman"/>
      <family val="1"/>
      <charset val="204"/>
    </font>
    <font>
      <sz val="10"/>
      <name val="Times New Roman"/>
      <family val="1"/>
      <charset val="163"/>
    </font>
    <font>
      <sz val="11"/>
      <color rgb="FFFF0000"/>
      <name val="Times New Roman"/>
      <family val="1"/>
      <charset val="163"/>
    </font>
    <font>
      <b/>
      <sz val="11"/>
      <color rgb="FFFF0000"/>
      <name val="Times New Roman"/>
      <family val="1"/>
      <charset val="163"/>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rgb="FFFFFFFF"/>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s>
  <cellStyleXfs count="70">
    <xf numFmtId="0" fontId="0" fillId="0" borderId="0"/>
    <xf numFmtId="43" fontId="1" fillId="0" borderId="0" applyFont="0" applyFill="0" applyBorder="0" applyAlignment="0" applyProtection="0"/>
    <xf numFmtId="0" fontId="9" fillId="0" borderId="0"/>
    <xf numFmtId="167" fontId="11" fillId="0" borderId="0" applyFont="0" applyFill="0" applyBorder="0" applyAlignment="0" applyProtection="0"/>
    <xf numFmtId="167" fontId="13" fillId="0" borderId="0" applyFont="0" applyFill="0" applyBorder="0" applyAlignment="0" applyProtection="0"/>
    <xf numFmtId="167" fontId="14" fillId="0" borderId="0" applyFont="0" applyFill="0" applyBorder="0" applyAlignment="0" applyProtection="0"/>
    <xf numFmtId="0" fontId="15" fillId="0" borderId="0"/>
    <xf numFmtId="43" fontId="16" fillId="0" borderId="0" applyFont="0" applyFill="0" applyBorder="0" applyAlignment="0" applyProtection="0"/>
    <xf numFmtId="0" fontId="11" fillId="0" borderId="0"/>
    <xf numFmtId="0" fontId="1" fillId="0" borderId="0"/>
    <xf numFmtId="169" fontId="18"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0" fontId="11" fillId="0" borderId="0"/>
    <xf numFmtId="167" fontId="14" fillId="0" borderId="0" applyFont="0" applyFill="0" applyBorder="0" applyAlignment="0" applyProtection="0"/>
    <xf numFmtId="0" fontId="11" fillId="0" borderId="0"/>
    <xf numFmtId="0" fontId="21" fillId="0" borderId="0" applyNumberFormat="0" applyFill="0" applyBorder="0" applyProtection="0">
      <alignment vertical="top"/>
    </xf>
    <xf numFmtId="0" fontId="22" fillId="0" borderId="0"/>
    <xf numFmtId="0" fontId="11" fillId="0" borderId="0"/>
    <xf numFmtId="0" fontId="24" fillId="0" borderId="0"/>
    <xf numFmtId="0" fontId="11" fillId="0" borderId="0"/>
    <xf numFmtId="0" fontId="14" fillId="0" borderId="0"/>
    <xf numFmtId="171" fontId="22" fillId="0" borderId="0" applyFont="0" applyFill="0" applyBorder="0" applyAlignment="0" applyProtection="0"/>
    <xf numFmtId="0" fontId="11" fillId="0" borderId="0"/>
    <xf numFmtId="0" fontId="22" fillId="0" borderId="0"/>
    <xf numFmtId="172" fontId="14" fillId="0" borderId="0" applyFont="0" applyFill="0" applyBorder="0" applyAlignment="0" applyProtection="0"/>
    <xf numFmtId="173" fontId="22" fillId="0" borderId="0" applyFont="0" applyFill="0" applyBorder="0" applyAlignment="0" applyProtection="0"/>
    <xf numFmtId="174" fontId="22" fillId="0" borderId="0" applyFont="0" applyFill="0" applyBorder="0" applyAlignment="0" applyProtection="0"/>
    <xf numFmtId="167" fontId="1" fillId="0" borderId="0" applyFont="0" applyFill="0" applyBorder="0" applyAlignment="0" applyProtection="0"/>
    <xf numFmtId="0" fontId="28" fillId="0" borderId="0"/>
    <xf numFmtId="165" fontId="32" fillId="0" borderId="0" applyFont="0" applyFill="0" applyBorder="0" applyAlignment="0" applyProtection="0"/>
    <xf numFmtId="167" fontId="1" fillId="0" borderId="0" applyFont="0" applyFill="0" applyBorder="0" applyAlignment="0" applyProtection="0"/>
    <xf numFmtId="0" fontId="11" fillId="0" borderId="0"/>
    <xf numFmtId="0" fontId="1" fillId="0" borderId="0"/>
    <xf numFmtId="0" fontId="22" fillId="0" borderId="0"/>
    <xf numFmtId="167" fontId="14" fillId="0" borderId="0" applyFont="0" applyFill="0" applyBorder="0" applyAlignment="0" applyProtection="0"/>
    <xf numFmtId="0" fontId="1" fillId="0" borderId="0"/>
    <xf numFmtId="173" fontId="14" fillId="0" borderId="0" applyFont="0" applyFill="0" applyBorder="0" applyAlignment="0" applyProtection="0"/>
    <xf numFmtId="0" fontId="22" fillId="0" borderId="0"/>
    <xf numFmtId="0" fontId="19" fillId="0" borderId="0"/>
    <xf numFmtId="0" fontId="14" fillId="0" borderId="0"/>
    <xf numFmtId="165" fontId="22" fillId="0" borderId="0" applyFont="0" applyFill="0" applyBorder="0" applyAlignment="0" applyProtection="0"/>
    <xf numFmtId="164" fontId="32" fillId="0" borderId="0" applyFont="0" applyFill="0" applyBorder="0" applyAlignment="0" applyProtection="0"/>
    <xf numFmtId="0" fontId="22" fillId="0" borderId="0"/>
    <xf numFmtId="0" fontId="1" fillId="0" borderId="0"/>
    <xf numFmtId="0" fontId="33" fillId="0" borderId="0"/>
    <xf numFmtId="0" fontId="1" fillId="0" borderId="0"/>
    <xf numFmtId="0" fontId="11" fillId="0" borderId="0"/>
    <xf numFmtId="0" fontId="33" fillId="0" borderId="0"/>
    <xf numFmtId="0" fontId="9" fillId="0" borderId="0"/>
    <xf numFmtId="0" fontId="34" fillId="0" borderId="0"/>
    <xf numFmtId="167" fontId="22" fillId="0" borderId="0" applyFont="0" applyFill="0" applyBorder="0" applyAlignment="0" applyProtection="0"/>
    <xf numFmtId="0" fontId="35" fillId="0" borderId="0"/>
    <xf numFmtId="0" fontId="36" fillId="0" borderId="0"/>
    <xf numFmtId="0" fontId="11" fillId="0" borderId="0"/>
    <xf numFmtId="0" fontId="11" fillId="0" borderId="0"/>
    <xf numFmtId="0" fontId="11" fillId="0" borderId="0"/>
    <xf numFmtId="0" fontId="37" fillId="0" borderId="0"/>
    <xf numFmtId="0" fontId="11" fillId="0" borderId="0"/>
    <xf numFmtId="0" fontId="11" fillId="0" borderId="0"/>
    <xf numFmtId="0" fontId="37" fillId="0" borderId="0"/>
    <xf numFmtId="0" fontId="33" fillId="0" borderId="0"/>
    <xf numFmtId="0" fontId="11" fillId="0" borderId="0"/>
    <xf numFmtId="0" fontId="11" fillId="0" borderId="0"/>
    <xf numFmtId="0" fontId="37" fillId="0" borderId="0"/>
    <xf numFmtId="0" fontId="37" fillId="0" borderId="0"/>
    <xf numFmtId="0" fontId="38" fillId="0" borderId="0"/>
    <xf numFmtId="0" fontId="33" fillId="0" borderId="0"/>
    <xf numFmtId="0" fontId="37" fillId="0" borderId="0"/>
    <xf numFmtId="0" fontId="37" fillId="0" borderId="0"/>
  </cellStyleXfs>
  <cellXfs count="595">
    <xf numFmtId="0" fontId="0" fillId="0" borderId="0" xfId="0"/>
    <xf numFmtId="0" fontId="5" fillId="2" borderId="0" xfId="0" applyFont="1" applyFill="1"/>
    <xf numFmtId="0" fontId="4" fillId="2" borderId="0" xfId="0" applyFont="1" applyFill="1"/>
    <xf numFmtId="0" fontId="6" fillId="2" borderId="0" xfId="0" applyFont="1" applyFill="1" applyAlignment="1">
      <alignment horizontal="center"/>
    </xf>
    <xf numFmtId="166" fontId="6" fillId="2" borderId="0" xfId="0" applyNumberFormat="1" applyFont="1" applyFill="1" applyAlignment="1">
      <alignment horizontal="right"/>
    </xf>
    <xf numFmtId="166" fontId="6" fillId="2" borderId="0" xfId="0" applyNumberFormat="1" applyFont="1" applyFill="1" applyAlignment="1">
      <alignment horizontal="center"/>
    </xf>
    <xf numFmtId="166" fontId="5" fillId="2" borderId="0" xfId="0" applyNumberFormat="1" applyFont="1" applyFill="1"/>
    <xf numFmtId="166" fontId="4" fillId="2" borderId="0" xfId="0" applyNumberFormat="1" applyFont="1" applyFill="1"/>
    <xf numFmtId="166" fontId="7" fillId="2" borderId="0" xfId="0" applyNumberFormat="1" applyFont="1" applyFill="1" applyAlignment="1">
      <alignment horizontal="right"/>
    </xf>
    <xf numFmtId="166" fontId="7" fillId="2" borderId="0" xfId="0" applyNumberFormat="1" applyFont="1" applyFill="1" applyAlignment="1">
      <alignment horizontal="center"/>
    </xf>
    <xf numFmtId="0" fontId="8" fillId="2" borderId="0" xfId="0" applyFont="1" applyFill="1" applyAlignment="1">
      <alignment horizontal="center"/>
    </xf>
    <xf numFmtId="3" fontId="5" fillId="2" borderId="2" xfId="2"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xf numFmtId="0" fontId="5" fillId="2" borderId="2" xfId="0" applyFont="1" applyFill="1" applyBorder="1" applyAlignment="1">
      <alignment horizontal="right"/>
    </xf>
    <xf numFmtId="0" fontId="10"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2" xfId="0" applyFont="1" applyFill="1" applyBorder="1"/>
    <xf numFmtId="166" fontId="10" fillId="2" borderId="2" xfId="0" applyNumberFormat="1" applyFont="1" applyFill="1" applyBorder="1"/>
    <xf numFmtId="166" fontId="10" fillId="2" borderId="2" xfId="3" applyNumberFormat="1" applyFont="1" applyFill="1" applyBorder="1" applyAlignment="1">
      <alignment horizontal="right" vertical="center" wrapText="1"/>
    </xf>
    <xf numFmtId="166" fontId="10" fillId="2" borderId="2" xfId="0" applyNumberFormat="1" applyFont="1" applyFill="1" applyBorder="1" applyAlignment="1">
      <alignment horizontal="center"/>
    </xf>
    <xf numFmtId="166" fontId="10" fillId="2" borderId="2" xfId="0" applyNumberFormat="1" applyFont="1" applyFill="1" applyBorder="1" applyAlignment="1">
      <alignment horizontal="center" vertical="center"/>
    </xf>
    <xf numFmtId="166" fontId="10" fillId="2" borderId="2" xfId="0" applyNumberFormat="1" applyFont="1" applyFill="1" applyBorder="1" applyAlignment="1">
      <alignment horizontal="right" vertical="center"/>
    </xf>
    <xf numFmtId="0" fontId="12" fillId="2" borderId="2" xfId="0" applyFont="1" applyFill="1" applyBorder="1" applyAlignment="1">
      <alignment horizontal="center"/>
    </xf>
    <xf numFmtId="0" fontId="10" fillId="2" borderId="2" xfId="0" applyFont="1" applyFill="1" applyBorder="1" applyAlignment="1">
      <alignment horizontal="right"/>
    </xf>
    <xf numFmtId="0" fontId="10" fillId="2" borderId="2" xfId="0" applyFont="1" applyFill="1" applyBorder="1" applyAlignment="1">
      <alignment horizontal="right" vertical="center"/>
    </xf>
    <xf numFmtId="0" fontId="10" fillId="2" borderId="0" xfId="0" applyFont="1" applyFill="1"/>
    <xf numFmtId="3" fontId="10" fillId="2" borderId="2" xfId="0" applyNumberFormat="1" applyFont="1" applyFill="1" applyBorder="1" applyAlignment="1">
      <alignment vertical="center"/>
    </xf>
    <xf numFmtId="166" fontId="4" fillId="2" borderId="2" xfId="0"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10" fillId="2" borderId="2" xfId="0" quotePrefix="1" applyFont="1" applyFill="1" applyBorder="1" applyAlignment="1">
      <alignment horizontal="center" vertical="center"/>
    </xf>
    <xf numFmtId="1" fontId="5" fillId="2" borderId="2" xfId="2" applyNumberFormat="1" applyFont="1" applyFill="1" applyBorder="1" applyAlignment="1">
      <alignment horizontal="center" vertical="center"/>
    </xf>
    <xf numFmtId="1" fontId="5" fillId="2" borderId="2" xfId="2" applyNumberFormat="1" applyFont="1" applyFill="1" applyBorder="1" applyAlignment="1">
      <alignment horizontal="center" vertical="center" wrapText="1"/>
    </xf>
    <xf numFmtId="166" fontId="10" fillId="2" borderId="2" xfId="4" applyNumberFormat="1" applyFont="1" applyFill="1" applyBorder="1" applyAlignment="1">
      <alignment horizontal="center" vertical="center" wrapText="1"/>
    </xf>
    <xf numFmtId="166" fontId="10" fillId="2" borderId="2" xfId="5" applyNumberFormat="1" applyFont="1" applyFill="1" applyBorder="1" applyAlignment="1">
      <alignment vertical="center"/>
    </xf>
    <xf numFmtId="166" fontId="10" fillId="2" borderId="2" xfId="0" applyNumberFormat="1" applyFont="1" applyFill="1" applyBorder="1" applyAlignment="1">
      <alignment horizontal="right" vertical="center" wrapText="1"/>
    </xf>
    <xf numFmtId="166" fontId="4" fillId="2" borderId="2" xfId="0" applyNumberFormat="1" applyFont="1" applyFill="1" applyBorder="1" applyAlignment="1">
      <alignment horizontal="center" vertical="center" wrapText="1"/>
    </xf>
    <xf numFmtId="0" fontId="8" fillId="2" borderId="2" xfId="0" applyFont="1" applyFill="1" applyBorder="1" applyAlignment="1">
      <alignment horizontal="center"/>
    </xf>
    <xf numFmtId="166" fontId="5" fillId="2" borderId="2" xfId="4" applyNumberFormat="1" applyFont="1" applyFill="1" applyBorder="1" applyAlignment="1">
      <alignment horizontal="center" vertical="center" wrapText="1"/>
    </xf>
    <xf numFmtId="0" fontId="10" fillId="2" borderId="2" xfId="6" applyFont="1" applyFill="1" applyBorder="1" applyAlignment="1">
      <alignment horizontal="left" vertical="center" wrapText="1"/>
    </xf>
    <xf numFmtId="0" fontId="5" fillId="2" borderId="2" xfId="6" applyFont="1" applyFill="1" applyBorder="1" applyAlignment="1">
      <alignment horizontal="center" vertical="center" wrapText="1"/>
    </xf>
    <xf numFmtId="0" fontId="10" fillId="2" borderId="2" xfId="6" applyFont="1" applyFill="1" applyBorder="1" applyAlignment="1">
      <alignment horizontal="center" vertical="center" wrapText="1"/>
    </xf>
    <xf numFmtId="166" fontId="10" fillId="2" borderId="2" xfId="7" applyNumberFormat="1" applyFont="1" applyFill="1" applyBorder="1" applyAlignment="1">
      <alignment vertical="center"/>
    </xf>
    <xf numFmtId="0" fontId="5" fillId="2" borderId="2" xfId="7" applyNumberFormat="1" applyFont="1" applyFill="1" applyBorder="1" applyAlignment="1">
      <alignment vertical="center"/>
    </xf>
    <xf numFmtId="0" fontId="10" fillId="2" borderId="2" xfId="3" applyNumberFormat="1" applyFont="1" applyFill="1" applyBorder="1" applyAlignment="1">
      <alignment horizontal="center" vertical="center" wrapText="1"/>
    </xf>
    <xf numFmtId="166" fontId="10" fillId="2" borderId="2" xfId="3" applyNumberFormat="1" applyFont="1" applyFill="1" applyBorder="1" applyAlignment="1">
      <alignment vertical="center"/>
    </xf>
    <xf numFmtId="0" fontId="4" fillId="2" borderId="2" xfId="8" applyFont="1" applyFill="1" applyBorder="1" applyAlignment="1">
      <alignment horizontal="center" vertical="center"/>
    </xf>
    <xf numFmtId="0" fontId="4" fillId="2" borderId="2" xfId="8" applyFont="1" applyFill="1" applyBorder="1" applyAlignment="1">
      <alignment horizontal="left" vertical="center" wrapText="1"/>
    </xf>
    <xf numFmtId="166" fontId="4" fillId="2" borderId="2" xfId="3" applyNumberFormat="1" applyFont="1" applyFill="1" applyBorder="1" applyAlignment="1">
      <alignment horizontal="right" vertical="center" wrapText="1"/>
    </xf>
    <xf numFmtId="166" fontId="4" fillId="2" borderId="2" xfId="3" applyNumberFormat="1" applyFont="1" applyFill="1" applyBorder="1" applyAlignment="1">
      <alignment horizontal="center" vertical="center" wrapText="1"/>
    </xf>
    <xf numFmtId="166" fontId="7" fillId="2" borderId="2" xfId="3" applyNumberFormat="1" applyFont="1" applyFill="1" applyBorder="1" applyAlignment="1">
      <alignment horizontal="center" vertical="center" wrapText="1"/>
    </xf>
    <xf numFmtId="0" fontId="10" fillId="2" borderId="2" xfId="0" applyFont="1" applyFill="1" applyBorder="1" applyAlignment="1">
      <alignment horizontal="justify" vertical="center" wrapText="1"/>
    </xf>
    <xf numFmtId="0" fontId="5" fillId="2" borderId="2" xfId="0" applyFont="1" applyFill="1" applyBorder="1" applyAlignment="1">
      <alignment vertical="center" wrapText="1"/>
    </xf>
    <xf numFmtId="0" fontId="5" fillId="2" borderId="2" xfId="0" applyFont="1" applyFill="1" applyBorder="1" applyAlignment="1">
      <alignment horizontal="center" vertical="center" wrapText="1"/>
    </xf>
    <xf numFmtId="166" fontId="5" fillId="2" borderId="2" xfId="3" applyNumberFormat="1" applyFont="1" applyFill="1" applyBorder="1" applyAlignment="1">
      <alignment vertical="center"/>
    </xf>
    <xf numFmtId="166" fontId="5" fillId="2" borderId="2" xfId="0" applyNumberFormat="1" applyFont="1" applyFill="1" applyBorder="1" applyAlignment="1">
      <alignment horizontal="center" vertical="center"/>
    </xf>
    <xf numFmtId="166" fontId="5" fillId="2" borderId="2" xfId="0" applyNumberFormat="1" applyFont="1" applyFill="1" applyBorder="1" applyAlignment="1">
      <alignment vertical="center"/>
    </xf>
    <xf numFmtId="166" fontId="5" fillId="2" borderId="2" xfId="0" applyNumberFormat="1" applyFont="1" applyFill="1" applyBorder="1" applyAlignment="1">
      <alignment horizontal="right" vertical="center"/>
    </xf>
    <xf numFmtId="166" fontId="4" fillId="2" borderId="2" xfId="3" applyNumberFormat="1" applyFont="1" applyFill="1" applyBorder="1" applyAlignment="1">
      <alignment vertical="center" wrapText="1"/>
    </xf>
    <xf numFmtId="0" fontId="5" fillId="2" borderId="2" xfId="0" applyFont="1" applyFill="1" applyBorder="1" applyAlignment="1">
      <alignment horizontal="left" vertical="center" wrapText="1"/>
    </xf>
    <xf numFmtId="166" fontId="5" fillId="2" borderId="2" xfId="3" applyNumberFormat="1" applyFont="1" applyFill="1" applyBorder="1" applyAlignment="1">
      <alignment vertical="center" wrapText="1"/>
    </xf>
    <xf numFmtId="166" fontId="5" fillId="2" borderId="2" xfId="3" applyNumberFormat="1" applyFont="1" applyFill="1" applyBorder="1" applyAlignment="1">
      <alignment horizontal="center" vertical="center" wrapText="1"/>
    </xf>
    <xf numFmtId="168" fontId="5" fillId="2" borderId="2" xfId="3" quotePrefix="1" applyNumberFormat="1" applyFont="1" applyFill="1" applyBorder="1" applyAlignment="1">
      <alignment horizontal="center" vertical="center" wrapText="1"/>
    </xf>
    <xf numFmtId="168" fontId="5" fillId="2" borderId="2" xfId="3" quotePrefix="1" applyNumberFormat="1" applyFont="1" applyFill="1" applyBorder="1" applyAlignment="1">
      <alignment horizontal="right" vertical="center" wrapText="1"/>
    </xf>
    <xf numFmtId="166" fontId="10" fillId="2" borderId="2" xfId="3" applyNumberFormat="1" applyFont="1" applyFill="1" applyBorder="1" applyAlignment="1">
      <alignment vertical="center" wrapText="1"/>
    </xf>
    <xf numFmtId="166" fontId="5" fillId="2" borderId="2" xfId="0" applyNumberFormat="1" applyFont="1" applyFill="1" applyBorder="1" applyAlignment="1">
      <alignment horizontal="right" vertical="center" wrapText="1"/>
    </xf>
    <xf numFmtId="166" fontId="5" fillId="2" borderId="2" xfId="3" applyNumberFormat="1" applyFont="1" applyFill="1" applyBorder="1" applyAlignment="1">
      <alignment horizontal="center" vertical="center"/>
    </xf>
    <xf numFmtId="166" fontId="5" fillId="2" borderId="2" xfId="3" applyNumberFormat="1" applyFont="1" applyFill="1" applyBorder="1" applyAlignment="1">
      <alignment horizontal="right" vertical="center"/>
    </xf>
    <xf numFmtId="166" fontId="5" fillId="2" borderId="2" xfId="3" applyNumberFormat="1" applyFont="1" applyFill="1" applyBorder="1" applyAlignment="1">
      <alignment horizontal="right" vertical="center" wrapText="1"/>
    </xf>
    <xf numFmtId="166" fontId="8" fillId="2" borderId="2" xfId="0" applyNumberFormat="1" applyFont="1" applyFill="1" applyBorder="1" applyAlignment="1">
      <alignment horizontal="center"/>
    </xf>
    <xf numFmtId="166" fontId="7" fillId="2" borderId="2" xfId="0" applyNumberFormat="1" applyFont="1" applyFill="1" applyBorder="1" applyAlignment="1">
      <alignment horizontal="center" vertical="center" wrapText="1"/>
    </xf>
    <xf numFmtId="0" fontId="8" fillId="2" borderId="2" xfId="0" applyFont="1" applyFill="1" applyBorder="1" applyAlignment="1">
      <alignment horizontal="center" wrapText="1"/>
    </xf>
    <xf numFmtId="0" fontId="5" fillId="2" borderId="2" xfId="6" applyFont="1" applyFill="1" applyBorder="1" applyAlignment="1">
      <alignment horizontal="left" vertical="center" wrapText="1"/>
    </xf>
    <xf numFmtId="2" fontId="5" fillId="2" borderId="2" xfId="0" applyNumberFormat="1" applyFont="1" applyFill="1" applyBorder="1" applyAlignment="1">
      <alignment horizontal="center" vertical="center" wrapText="1"/>
    </xf>
    <xf numFmtId="166" fontId="5" fillId="2" borderId="2" xfId="7" applyNumberFormat="1" applyFont="1" applyFill="1" applyBorder="1" applyAlignment="1">
      <alignment vertical="center"/>
    </xf>
    <xf numFmtId="0" fontId="10" fillId="2" borderId="2" xfId="8" quotePrefix="1" applyFont="1" applyFill="1" applyBorder="1" applyAlignment="1">
      <alignment horizontal="center" vertical="center"/>
    </xf>
    <xf numFmtId="1" fontId="10" fillId="2" borderId="2" xfId="2" applyNumberFormat="1" applyFont="1" applyFill="1" applyBorder="1" applyAlignment="1">
      <alignment horizontal="center" vertical="center" wrapText="1"/>
    </xf>
    <xf numFmtId="166" fontId="10" fillId="2" borderId="2" xfId="4" applyNumberFormat="1" applyFont="1" applyFill="1" applyBorder="1" applyAlignment="1">
      <alignment vertical="center" wrapText="1"/>
    </xf>
    <xf numFmtId="1" fontId="10" fillId="2" borderId="2" xfId="2" applyNumberFormat="1" applyFont="1" applyFill="1" applyBorder="1" applyAlignment="1">
      <alignment vertical="center"/>
    </xf>
    <xf numFmtId="166" fontId="5" fillId="2" borderId="2" xfId="5" applyNumberFormat="1" applyFont="1" applyFill="1" applyBorder="1" applyAlignment="1">
      <alignment horizontal="right" vertical="center"/>
    </xf>
    <xf numFmtId="1" fontId="10" fillId="2" borderId="2" xfId="2" applyNumberFormat="1" applyFont="1" applyFill="1" applyBorder="1" applyAlignment="1">
      <alignment horizontal="center" vertical="center"/>
    </xf>
    <xf numFmtId="2" fontId="10" fillId="2" borderId="2" xfId="9" applyNumberFormat="1" applyFont="1" applyFill="1" applyBorder="1" applyAlignment="1">
      <alignment horizontal="center" vertical="center" wrapText="1"/>
    </xf>
    <xf numFmtId="0" fontId="10" fillId="2" borderId="2" xfId="8" applyFont="1" applyFill="1" applyBorder="1" applyAlignment="1">
      <alignment horizontal="right" vertical="center" wrapText="1"/>
    </xf>
    <xf numFmtId="0" fontId="10" fillId="2" borderId="2" xfId="8" applyFont="1" applyFill="1" applyBorder="1" applyAlignment="1">
      <alignment horizontal="left" vertical="center" wrapText="1"/>
    </xf>
    <xf numFmtId="0" fontId="10" fillId="2" borderId="2" xfId="9" applyFont="1" applyFill="1" applyBorder="1" applyAlignment="1">
      <alignment horizontal="left" vertical="center" wrapText="1"/>
    </xf>
    <xf numFmtId="1" fontId="5" fillId="2" borderId="2" xfId="2" applyNumberFormat="1" applyFont="1" applyFill="1" applyBorder="1" applyAlignment="1">
      <alignment horizontal="right" vertical="center"/>
    </xf>
    <xf numFmtId="166" fontId="10" fillId="2" borderId="2" xfId="3" applyNumberFormat="1" applyFont="1" applyFill="1" applyBorder="1" applyAlignment="1">
      <alignment horizontal="right" vertical="center"/>
    </xf>
    <xf numFmtId="0" fontId="4" fillId="2" borderId="2" xfId="8" applyFont="1" applyFill="1" applyBorder="1" applyAlignment="1">
      <alignment horizontal="center" vertical="center" wrapText="1"/>
    </xf>
    <xf numFmtId="169" fontId="5" fillId="2" borderId="2" xfId="10" applyFont="1" applyFill="1" applyBorder="1" applyAlignment="1">
      <alignment horizontal="justify" vertical="center" wrapText="1"/>
    </xf>
    <xf numFmtId="166" fontId="5" fillId="2" borderId="2" xfId="11" applyNumberFormat="1" applyFont="1" applyFill="1" applyBorder="1" applyAlignment="1">
      <alignment vertical="center"/>
    </xf>
    <xf numFmtId="166" fontId="5" fillId="2" borderId="2" xfId="11" applyNumberFormat="1" applyFont="1" applyFill="1" applyBorder="1" applyAlignment="1">
      <alignment horizontal="center" vertical="center" wrapText="1"/>
    </xf>
    <xf numFmtId="166" fontId="5" fillId="2" borderId="2" xfId="11" applyNumberFormat="1" applyFont="1" applyFill="1" applyBorder="1" applyAlignment="1">
      <alignment horizontal="right" vertical="center" wrapText="1"/>
    </xf>
    <xf numFmtId="0" fontId="5" fillId="2" borderId="2" xfId="0" applyFont="1" applyFill="1" applyBorder="1" applyAlignment="1">
      <alignment horizontal="justify" vertical="center" wrapText="1"/>
    </xf>
    <xf numFmtId="3" fontId="5" fillId="2" borderId="2" xfId="3" applyNumberFormat="1" applyFont="1" applyFill="1" applyBorder="1" applyAlignment="1">
      <alignment vertical="center" wrapText="1"/>
    </xf>
    <xf numFmtId="0" fontId="8" fillId="2" borderId="2" xfId="6" applyFont="1" applyFill="1" applyBorder="1" applyAlignment="1">
      <alignment horizontal="center" vertical="center" wrapText="1"/>
    </xf>
    <xf numFmtId="3" fontId="5" fillId="2" borderId="0" xfId="3" applyNumberFormat="1" applyFont="1" applyFill="1" applyBorder="1" applyAlignment="1">
      <alignment vertical="center" wrapText="1"/>
    </xf>
    <xf numFmtId="0" fontId="5" fillId="2" borderId="2" xfId="8" applyFont="1" applyFill="1" applyBorder="1" applyAlignment="1">
      <alignment horizontal="left" vertical="center" wrapText="1"/>
    </xf>
    <xf numFmtId="0" fontId="5" fillId="2" borderId="2" xfId="8" applyFont="1" applyFill="1" applyBorder="1" applyAlignment="1">
      <alignment horizontal="center" vertical="center" wrapText="1"/>
    </xf>
    <xf numFmtId="166" fontId="5" fillId="2" borderId="2" xfId="5" applyNumberFormat="1" applyFont="1" applyFill="1" applyBorder="1" applyAlignment="1">
      <alignment vertical="center" wrapText="1"/>
    </xf>
    <xf numFmtId="166" fontId="5" fillId="2" borderId="2" xfId="5" applyNumberFormat="1" applyFont="1" applyFill="1" applyBorder="1" applyAlignment="1">
      <alignment vertical="center"/>
    </xf>
    <xf numFmtId="166" fontId="5" fillId="2" borderId="2" xfId="5" applyNumberFormat="1" applyFont="1" applyFill="1" applyBorder="1" applyAlignment="1">
      <alignment horizontal="center" vertical="center" wrapText="1"/>
    </xf>
    <xf numFmtId="166" fontId="5" fillId="2" borderId="2" xfId="5" applyNumberFormat="1" applyFont="1" applyFill="1" applyBorder="1" applyAlignment="1">
      <alignment horizontal="right" vertical="center" wrapText="1"/>
    </xf>
    <xf numFmtId="166" fontId="10" fillId="2" borderId="2" xfId="12" applyNumberFormat="1" applyFont="1" applyFill="1" applyBorder="1" applyAlignment="1">
      <alignment horizontal="center" vertical="center" wrapText="1"/>
    </xf>
    <xf numFmtId="166" fontId="10" fillId="2" borderId="2" xfId="12" applyNumberFormat="1" applyFont="1" applyFill="1" applyBorder="1" applyAlignment="1">
      <alignment horizontal="right" vertical="center" wrapText="1"/>
    </xf>
    <xf numFmtId="0" fontId="10" fillId="2" borderId="2" xfId="13" applyFont="1" applyFill="1" applyBorder="1" applyAlignment="1">
      <alignment vertical="center" wrapText="1"/>
    </xf>
    <xf numFmtId="0" fontId="10" fillId="2" borderId="2" xfId="13" applyFont="1" applyFill="1" applyBorder="1" applyAlignment="1">
      <alignment horizontal="center" vertical="center" wrapText="1"/>
    </xf>
    <xf numFmtId="166" fontId="10" fillId="2" borderId="2" xfId="13" applyNumberFormat="1" applyFont="1" applyFill="1" applyBorder="1" applyAlignment="1">
      <alignment horizontal="center" vertical="center" wrapText="1"/>
    </xf>
    <xf numFmtId="0" fontId="5" fillId="2" borderId="9" xfId="6" applyFont="1" applyFill="1" applyBorder="1" applyAlignment="1">
      <alignment horizontal="center" vertical="center" wrapText="1"/>
    </xf>
    <xf numFmtId="168" fontId="5" fillId="2" borderId="9" xfId="1" applyNumberFormat="1" applyFont="1" applyFill="1" applyBorder="1" applyAlignment="1">
      <alignment vertical="center" wrapText="1"/>
    </xf>
    <xf numFmtId="168" fontId="5" fillId="2" borderId="2" xfId="12" applyNumberFormat="1" applyFont="1" applyFill="1" applyBorder="1" applyAlignment="1">
      <alignment vertical="center" wrapText="1"/>
    </xf>
    <xf numFmtId="0" fontId="8" fillId="2" borderId="9" xfId="6" applyFont="1" applyFill="1" applyBorder="1" applyAlignment="1">
      <alignment horizontal="center" vertical="center" wrapText="1"/>
    </xf>
    <xf numFmtId="168" fontId="5" fillId="2" borderId="2" xfId="12" applyNumberFormat="1" applyFont="1" applyFill="1" applyBorder="1" applyAlignment="1">
      <alignment horizontal="right" vertical="center" wrapText="1"/>
    </xf>
    <xf numFmtId="166" fontId="5" fillId="2" borderId="2" xfId="14" applyNumberFormat="1" applyFont="1" applyFill="1" applyBorder="1" applyAlignment="1">
      <alignment horizontal="right" vertical="center"/>
    </xf>
    <xf numFmtId="166" fontId="5" fillId="2" borderId="2" xfId="7" applyNumberFormat="1" applyFont="1" applyFill="1" applyBorder="1" applyAlignment="1">
      <alignment vertical="center" wrapText="1"/>
    </xf>
    <xf numFmtId="166" fontId="5" fillId="2" borderId="2" xfId="7" applyNumberFormat="1" applyFont="1" applyFill="1" applyBorder="1" applyAlignment="1">
      <alignment horizontal="center" vertical="center" wrapText="1"/>
    </xf>
    <xf numFmtId="166" fontId="5" fillId="2" borderId="2" xfId="7" applyNumberFormat="1" applyFont="1" applyFill="1" applyBorder="1" applyAlignment="1">
      <alignment horizontal="right" vertical="center" wrapText="1"/>
    </xf>
    <xf numFmtId="0" fontId="5" fillId="2" borderId="9" xfId="0" applyFont="1" applyFill="1" applyBorder="1" applyAlignment="1">
      <alignment horizontal="center" vertical="center" wrapText="1"/>
    </xf>
    <xf numFmtId="166" fontId="5" fillId="2" borderId="9" xfId="5" applyNumberFormat="1" applyFont="1" applyFill="1" applyBorder="1" applyAlignment="1">
      <alignment vertical="center" wrapText="1"/>
    </xf>
    <xf numFmtId="3" fontId="5" fillId="2" borderId="9" xfId="1" applyNumberFormat="1" applyFont="1" applyFill="1" applyBorder="1" applyAlignment="1">
      <alignment horizontal="right" vertical="center" wrapText="1"/>
    </xf>
    <xf numFmtId="1" fontId="10" fillId="2" borderId="9" xfId="2" applyNumberFormat="1" applyFont="1" applyFill="1" applyBorder="1" applyAlignment="1">
      <alignment horizontal="center" vertical="center" wrapText="1"/>
    </xf>
    <xf numFmtId="0" fontId="5" fillId="2" borderId="9" xfId="15" applyFont="1" applyFill="1" applyBorder="1" applyAlignment="1">
      <alignment horizontal="center" vertical="center" wrapText="1"/>
    </xf>
    <xf numFmtId="168" fontId="5" fillId="2" borderId="9" xfId="3" applyNumberFormat="1" applyFont="1" applyFill="1" applyBorder="1" applyAlignment="1">
      <alignment horizontal="right" vertical="center" wrapText="1"/>
    </xf>
    <xf numFmtId="3" fontId="5" fillId="2" borderId="2" xfId="3" applyNumberFormat="1" applyFont="1" applyFill="1" applyBorder="1" applyAlignment="1">
      <alignment horizontal="right" vertical="center" wrapText="1"/>
    </xf>
    <xf numFmtId="0" fontId="5" fillId="2" borderId="2" xfId="0" applyFont="1" applyFill="1" applyBorder="1" applyAlignment="1">
      <alignment horizontal="left" vertical="center"/>
    </xf>
    <xf numFmtId="166" fontId="5" fillId="2" borderId="2" xfId="3" quotePrefix="1" applyNumberFormat="1" applyFont="1" applyFill="1" applyBorder="1" applyAlignment="1">
      <alignment vertical="center" wrapText="1"/>
    </xf>
    <xf numFmtId="49" fontId="5" fillId="2" borderId="2" xfId="9" applyNumberFormat="1" applyFont="1" applyFill="1" applyBorder="1" applyAlignment="1">
      <alignment horizontal="center" vertical="center" wrapText="1"/>
    </xf>
    <xf numFmtId="3" fontId="10" fillId="2" borderId="2" xfId="7" applyNumberFormat="1" applyFont="1" applyFill="1" applyBorder="1" applyAlignment="1">
      <alignment vertical="center" wrapText="1"/>
    </xf>
    <xf numFmtId="0" fontId="8" fillId="2" borderId="2" xfId="0" applyFont="1" applyFill="1" applyBorder="1" applyAlignment="1">
      <alignment horizontal="center" vertical="center" wrapText="1"/>
    </xf>
    <xf numFmtId="168" fontId="5" fillId="2" borderId="2" xfId="1" applyNumberFormat="1" applyFont="1" applyFill="1" applyBorder="1" applyAlignment="1">
      <alignment vertical="center"/>
    </xf>
    <xf numFmtId="0" fontId="5" fillId="2" borderId="2" xfId="0" applyFont="1" applyFill="1" applyBorder="1" applyAlignment="1">
      <alignment horizontal="center"/>
    </xf>
    <xf numFmtId="3" fontId="5" fillId="2" borderId="2" xfId="3" applyNumberFormat="1" applyFont="1" applyFill="1" applyBorder="1" applyAlignment="1">
      <alignment horizontal="center" vertical="center" wrapText="1"/>
    </xf>
    <xf numFmtId="3" fontId="8" fillId="2" borderId="2" xfId="3" applyNumberFormat="1" applyFont="1" applyFill="1" applyBorder="1" applyAlignment="1">
      <alignment horizontal="center" vertical="center" wrapText="1"/>
    </xf>
    <xf numFmtId="166" fontId="4" fillId="2" borderId="2" xfId="0" applyNumberFormat="1" applyFont="1" applyFill="1" applyBorder="1" applyAlignment="1">
      <alignment horizontal="right" vertical="center"/>
    </xf>
    <xf numFmtId="166" fontId="5" fillId="2" borderId="2" xfId="11" applyNumberFormat="1" applyFont="1" applyFill="1" applyBorder="1" applyAlignment="1">
      <alignment horizontal="center" vertical="center"/>
    </xf>
    <xf numFmtId="3" fontId="5" fillId="2" borderId="2" xfId="11" applyNumberFormat="1" applyFont="1" applyFill="1" applyBorder="1" applyAlignment="1">
      <alignment horizontal="center" vertical="center"/>
    </xf>
    <xf numFmtId="3" fontId="5" fillId="2" borderId="2" xfId="11" applyNumberFormat="1" applyFont="1" applyFill="1" applyBorder="1" applyAlignment="1">
      <alignment horizontal="right" vertical="center"/>
    </xf>
    <xf numFmtId="3" fontId="8" fillId="2" borderId="2" xfId="11" applyNumberFormat="1" applyFont="1" applyFill="1" applyBorder="1" applyAlignment="1">
      <alignment horizontal="center" vertical="center"/>
    </xf>
    <xf numFmtId="166" fontId="4" fillId="2" borderId="2" xfId="11" applyNumberFormat="1" applyFont="1" applyFill="1" applyBorder="1" applyAlignment="1">
      <alignment vertical="center"/>
    </xf>
    <xf numFmtId="166" fontId="4" fillId="2" borderId="2" xfId="11" applyNumberFormat="1" applyFont="1" applyFill="1" applyBorder="1" applyAlignment="1">
      <alignment horizontal="right" vertical="center"/>
    </xf>
    <xf numFmtId="166" fontId="4" fillId="2" borderId="2" xfId="11" applyNumberFormat="1" applyFont="1" applyFill="1" applyBorder="1" applyAlignment="1">
      <alignment horizontal="center" vertical="center"/>
    </xf>
    <xf numFmtId="166" fontId="7" fillId="2" borderId="2" xfId="11" applyNumberFormat="1" applyFont="1" applyFill="1" applyBorder="1" applyAlignment="1">
      <alignment horizontal="center" vertical="center"/>
    </xf>
    <xf numFmtId="168" fontId="5" fillId="2" borderId="2" xfId="1" applyNumberFormat="1" applyFont="1" applyFill="1" applyBorder="1" applyAlignment="1">
      <alignment horizontal="right" vertical="center"/>
    </xf>
    <xf numFmtId="3" fontId="10" fillId="2" borderId="2" xfId="3" applyNumberFormat="1" applyFont="1" applyFill="1" applyBorder="1" applyAlignment="1">
      <alignment horizontal="center" vertical="center" wrapText="1"/>
    </xf>
    <xf numFmtId="0" fontId="5" fillId="2" borderId="2" xfId="9" applyFont="1" applyFill="1" applyBorder="1" applyAlignment="1">
      <alignment horizontal="left" vertical="center" wrapText="1"/>
    </xf>
    <xf numFmtId="2" fontId="5" fillId="2" borderId="2" xfId="9" applyNumberFormat="1" applyFont="1" applyFill="1" applyBorder="1" applyAlignment="1">
      <alignment horizontal="center" vertical="center" wrapText="1"/>
    </xf>
    <xf numFmtId="166" fontId="10" fillId="2" borderId="2" xfId="3" applyNumberFormat="1" applyFont="1" applyFill="1" applyBorder="1" applyAlignment="1">
      <alignment horizontal="center" vertical="center" wrapText="1"/>
    </xf>
    <xf numFmtId="166" fontId="5" fillId="2" borderId="2" xfId="0" applyNumberFormat="1" applyFont="1" applyFill="1" applyBorder="1" applyAlignment="1">
      <alignment horizontal="center" vertical="center" wrapText="1"/>
    </xf>
    <xf numFmtId="166" fontId="5" fillId="2" borderId="2" xfId="3" quotePrefix="1" applyNumberFormat="1" applyFont="1" applyFill="1" applyBorder="1" applyAlignment="1">
      <alignment horizontal="center" vertical="center" wrapText="1"/>
    </xf>
    <xf numFmtId="3" fontId="5" fillId="2" borderId="2" xfId="2" quotePrefix="1" applyNumberFormat="1" applyFont="1" applyFill="1" applyBorder="1" applyAlignment="1">
      <alignment horizontal="center" vertical="center" wrapText="1"/>
    </xf>
    <xf numFmtId="170" fontId="5" fillId="2" borderId="2" xfId="3" applyNumberFormat="1" applyFont="1" applyFill="1" applyBorder="1" applyAlignment="1">
      <alignment horizontal="right" vertical="center"/>
    </xf>
    <xf numFmtId="166" fontId="5" fillId="2" borderId="2" xfId="2" applyNumberFormat="1" applyFont="1" applyFill="1" applyBorder="1" applyAlignment="1">
      <alignment horizontal="center" vertical="center" wrapText="1"/>
    </xf>
    <xf numFmtId="0" fontId="5" fillId="2" borderId="2" xfId="15" applyFont="1" applyFill="1" applyBorder="1" applyAlignment="1">
      <alignment horizontal="center" vertical="center" wrapText="1"/>
    </xf>
    <xf numFmtId="168" fontId="5" fillId="2" borderId="2" xfId="3" applyNumberFormat="1" applyFont="1" applyFill="1" applyBorder="1" applyAlignment="1">
      <alignment horizontal="right" vertical="center" wrapText="1"/>
    </xf>
    <xf numFmtId="0" fontId="5" fillId="2" borderId="10" xfId="15" applyFont="1" applyFill="1" applyBorder="1" applyAlignment="1">
      <alignment horizontal="center" vertical="center" wrapText="1"/>
    </xf>
    <xf numFmtId="166" fontId="12" fillId="2" borderId="2" xfId="3" applyNumberFormat="1" applyFont="1" applyFill="1" applyBorder="1" applyAlignment="1">
      <alignment horizontal="center" vertical="center" wrapText="1"/>
    </xf>
    <xf numFmtId="0" fontId="10" fillId="2" borderId="2" xfId="16" applyFont="1" applyFill="1" applyBorder="1" applyAlignment="1">
      <alignment horizontal="center" wrapText="1"/>
    </xf>
    <xf numFmtId="3" fontId="10" fillId="2" borderId="2" xfId="2" applyNumberFormat="1" applyFont="1" applyFill="1" applyBorder="1" applyAlignment="1">
      <alignment horizontal="left" vertical="center" wrapText="1"/>
    </xf>
    <xf numFmtId="3" fontId="10" fillId="2" borderId="2" xfId="2" applyNumberFormat="1" applyFont="1" applyFill="1" applyBorder="1" applyAlignment="1">
      <alignment horizontal="center" vertical="center" wrapText="1"/>
    </xf>
    <xf numFmtId="0" fontId="17" fillId="2" borderId="0" xfId="0" applyFont="1" applyFill="1"/>
    <xf numFmtId="168" fontId="5" fillId="2" borderId="9" xfId="3" quotePrefix="1" applyNumberFormat="1" applyFont="1" applyFill="1" applyBorder="1" applyAlignment="1">
      <alignment horizontal="center" vertical="center" wrapText="1"/>
    </xf>
    <xf numFmtId="0" fontId="12" fillId="2" borderId="2" xfId="6" applyFont="1" applyFill="1" applyBorder="1" applyAlignment="1">
      <alignment horizontal="center" vertical="center" wrapText="1"/>
    </xf>
    <xf numFmtId="0" fontId="10" fillId="2" borderId="2" xfId="6" quotePrefix="1" applyFont="1" applyFill="1" applyBorder="1" applyAlignment="1">
      <alignment horizontal="center" vertical="center" wrapText="1"/>
    </xf>
    <xf numFmtId="0" fontId="12" fillId="2" borderId="6" xfId="6"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0" fontId="5" fillId="2" borderId="2" xfId="17" applyFont="1" applyFill="1" applyBorder="1" applyAlignment="1">
      <alignment horizontal="left" vertical="center" wrapText="1"/>
    </xf>
    <xf numFmtId="0" fontId="5" fillId="2" borderId="2" xfId="16" applyFont="1" applyFill="1" applyBorder="1" applyAlignment="1">
      <alignment horizontal="center" wrapText="1"/>
    </xf>
    <xf numFmtId="166" fontId="4" fillId="2" borderId="2" xfId="3" applyNumberFormat="1" applyFont="1" applyFill="1" applyBorder="1" applyAlignment="1">
      <alignment vertical="center"/>
    </xf>
    <xf numFmtId="166" fontId="4" fillId="2" borderId="2" xfId="3" applyNumberFormat="1" applyFont="1" applyFill="1" applyBorder="1" applyAlignment="1">
      <alignment horizontal="right" vertical="center"/>
    </xf>
    <xf numFmtId="166" fontId="4" fillId="2" borderId="2" xfId="3" applyNumberFormat="1" applyFont="1" applyFill="1" applyBorder="1" applyAlignment="1">
      <alignment horizontal="center" vertical="center"/>
    </xf>
    <xf numFmtId="166" fontId="7" fillId="2" borderId="2" xfId="3" applyNumberFormat="1" applyFont="1" applyFill="1" applyBorder="1" applyAlignment="1">
      <alignment horizontal="center" vertical="center"/>
    </xf>
    <xf numFmtId="166" fontId="4" fillId="2" borderId="2" xfId="0" applyNumberFormat="1" applyFont="1" applyFill="1" applyBorder="1" applyAlignment="1">
      <alignment horizontal="right"/>
    </xf>
    <xf numFmtId="166" fontId="4" fillId="2" borderId="2" xfId="0" applyNumberFormat="1" applyFont="1" applyFill="1" applyBorder="1" applyAlignment="1">
      <alignment horizontal="center"/>
    </xf>
    <xf numFmtId="166" fontId="7" fillId="2" borderId="2" xfId="0" applyNumberFormat="1" applyFont="1" applyFill="1" applyBorder="1" applyAlignment="1">
      <alignment horizontal="center"/>
    </xf>
    <xf numFmtId="168" fontId="5" fillId="2" borderId="2" xfId="1" applyNumberFormat="1" applyFont="1" applyFill="1" applyBorder="1" applyAlignment="1">
      <alignment horizontal="right" vertical="center" wrapText="1"/>
    </xf>
    <xf numFmtId="168" fontId="5" fillId="2" borderId="2" xfId="1" applyNumberFormat="1" applyFont="1" applyFill="1" applyBorder="1" applyAlignment="1">
      <alignment vertical="center" wrapText="1"/>
    </xf>
    <xf numFmtId="168" fontId="5" fillId="2" borderId="2" xfId="1" applyNumberFormat="1" applyFont="1" applyFill="1" applyBorder="1" applyAlignment="1">
      <alignment horizontal="center" vertical="center" wrapText="1"/>
    </xf>
    <xf numFmtId="0" fontId="10" fillId="2" borderId="2" xfId="0" applyFont="1" applyFill="1" applyBorder="1" applyAlignment="1">
      <alignment vertical="center" wrapText="1"/>
    </xf>
    <xf numFmtId="0" fontId="10" fillId="2" borderId="2" xfId="2" applyFont="1" applyFill="1" applyBorder="1" applyAlignment="1">
      <alignment horizontal="center" vertical="center"/>
    </xf>
    <xf numFmtId="0" fontId="10" fillId="2" borderId="2" xfId="8" applyFont="1" applyFill="1" applyBorder="1" applyAlignment="1">
      <alignment horizontal="center" vertical="center" wrapText="1"/>
    </xf>
    <xf numFmtId="0" fontId="10" fillId="2" borderId="2" xfId="17" applyFont="1" applyFill="1" applyBorder="1" applyAlignment="1">
      <alignment horizontal="left" vertical="center" wrapText="1"/>
    </xf>
    <xf numFmtId="2" fontId="10" fillId="2" borderId="2" xfId="6" applyNumberFormat="1" applyFont="1" applyFill="1" applyBorder="1" applyAlignment="1">
      <alignment horizontal="center" vertical="center" wrapText="1"/>
    </xf>
    <xf numFmtId="166" fontId="4" fillId="2" borderId="2" xfId="0" applyNumberFormat="1" applyFont="1" applyFill="1" applyBorder="1" applyAlignment="1">
      <alignment horizontal="center" vertical="center"/>
    </xf>
    <xf numFmtId="166" fontId="7" fillId="2" borderId="2" xfId="0" applyNumberFormat="1" applyFont="1" applyFill="1" applyBorder="1" applyAlignment="1">
      <alignment horizontal="center" vertical="center"/>
    </xf>
    <xf numFmtId="1" fontId="5" fillId="2" borderId="2" xfId="2" applyNumberFormat="1" applyFont="1" applyFill="1" applyBorder="1" applyAlignment="1">
      <alignment horizontal="left" vertical="center" wrapText="1"/>
    </xf>
    <xf numFmtId="166" fontId="5" fillId="2" borderId="2" xfId="14" applyNumberFormat="1" applyFont="1" applyFill="1" applyBorder="1" applyAlignment="1">
      <alignment vertical="center"/>
    </xf>
    <xf numFmtId="168" fontId="5" fillId="2" borderId="2" xfId="12" applyNumberFormat="1" applyFont="1" applyFill="1" applyBorder="1" applyAlignment="1">
      <alignment horizontal="center" vertical="center" wrapText="1"/>
    </xf>
    <xf numFmtId="0" fontId="2" fillId="2" borderId="2" xfId="0" applyFont="1" applyFill="1" applyBorder="1" applyAlignment="1">
      <alignment horizontal="center"/>
    </xf>
    <xf numFmtId="0" fontId="23" fillId="2" borderId="0" xfId="0" applyFont="1" applyFill="1"/>
    <xf numFmtId="3" fontId="10" fillId="2" borderId="2" xfId="18" applyNumberFormat="1" applyFont="1" applyFill="1" applyBorder="1" applyAlignment="1">
      <alignment vertical="center" wrapText="1"/>
    </xf>
    <xf numFmtId="3" fontId="5" fillId="2" borderId="2" xfId="2" applyNumberFormat="1" applyFont="1" applyFill="1" applyBorder="1" applyAlignment="1">
      <alignment horizontal="left" vertical="center" wrapText="1"/>
    </xf>
    <xf numFmtId="166" fontId="10" fillId="2" borderId="2" xfId="0" applyNumberFormat="1" applyFont="1" applyFill="1" applyBorder="1" applyAlignment="1">
      <alignment vertical="center" wrapText="1"/>
    </xf>
    <xf numFmtId="168" fontId="10" fillId="2" borderId="2" xfId="1" applyNumberFormat="1" applyFont="1" applyFill="1" applyBorder="1" applyAlignment="1">
      <alignment vertical="center" wrapText="1"/>
    </xf>
    <xf numFmtId="166" fontId="5" fillId="2" borderId="2" xfId="4" quotePrefix="1" applyNumberFormat="1" applyFont="1" applyFill="1" applyBorder="1" applyAlignment="1">
      <alignment horizontal="center" vertical="center" wrapText="1"/>
    </xf>
    <xf numFmtId="166" fontId="5" fillId="2" borderId="2" xfId="0" applyNumberFormat="1" applyFont="1" applyFill="1" applyBorder="1" applyAlignment="1">
      <alignment vertical="center" wrapText="1"/>
    </xf>
    <xf numFmtId="166" fontId="5" fillId="2" borderId="2" xfId="4" applyNumberFormat="1" applyFont="1" applyFill="1" applyBorder="1" applyAlignment="1">
      <alignment vertical="center" wrapText="1"/>
    </xf>
    <xf numFmtId="0" fontId="5" fillId="2" borderId="2" xfId="18" applyFont="1" applyFill="1" applyBorder="1" applyAlignment="1">
      <alignment horizontal="justify" vertical="center"/>
    </xf>
    <xf numFmtId="0" fontId="5" fillId="2" borderId="2" xfId="18" applyFont="1" applyFill="1" applyBorder="1" applyAlignment="1">
      <alignment horizontal="center" vertical="center" wrapText="1"/>
    </xf>
    <xf numFmtId="0" fontId="10" fillId="2" borderId="11" xfId="6" quotePrefix="1" applyFont="1" applyFill="1" applyBorder="1" applyAlignment="1">
      <alignment horizontal="center" vertical="center" wrapText="1"/>
    </xf>
    <xf numFmtId="0" fontId="4" fillId="2" borderId="2" xfId="0" quotePrefix="1" applyFont="1" applyFill="1" applyBorder="1" applyAlignment="1">
      <alignment horizontal="center" vertical="center"/>
    </xf>
    <xf numFmtId="166" fontId="10" fillId="2" borderId="2" xfId="5" applyNumberFormat="1" applyFont="1" applyFill="1" applyBorder="1" applyAlignment="1">
      <alignment horizontal="right" vertical="center"/>
    </xf>
    <xf numFmtId="3" fontId="5" fillId="2" borderId="2" xfId="0" applyNumberFormat="1" applyFont="1" applyFill="1" applyBorder="1" applyAlignment="1">
      <alignment horizontal="right" vertical="center"/>
    </xf>
    <xf numFmtId="0" fontId="10" fillId="2" borderId="2" xfId="4" applyNumberFormat="1" applyFont="1" applyFill="1" applyBorder="1" applyAlignment="1">
      <alignment horizontal="center" vertical="center" wrapText="1"/>
    </xf>
    <xf numFmtId="1" fontId="10" fillId="2" borderId="2" xfId="2" applyNumberFormat="1" applyFont="1" applyFill="1" applyBorder="1" applyAlignment="1">
      <alignment vertical="center" wrapText="1"/>
    </xf>
    <xf numFmtId="0" fontId="10" fillId="2" borderId="2" xfId="0" applyFont="1" applyFill="1" applyBorder="1" applyAlignment="1">
      <alignment horizontal="center" vertical="center"/>
    </xf>
    <xf numFmtId="1" fontId="10" fillId="2" borderId="2" xfId="20" applyNumberFormat="1" applyFont="1" applyFill="1" applyBorder="1" applyAlignment="1">
      <alignment horizontal="left" vertical="center" wrapText="1"/>
    </xf>
    <xf numFmtId="1" fontId="10" fillId="2" borderId="2" xfId="20" applyNumberFormat="1" applyFont="1" applyFill="1" applyBorder="1" applyAlignment="1">
      <alignment horizontal="center" vertical="center" wrapText="1"/>
    </xf>
    <xf numFmtId="3" fontId="10" fillId="2" borderId="2" xfId="20" quotePrefix="1" applyNumberFormat="1" applyFont="1" applyFill="1" applyBorder="1" applyAlignment="1">
      <alignment horizontal="center" vertical="center" wrapText="1"/>
    </xf>
    <xf numFmtId="3" fontId="10" fillId="2" borderId="2" xfId="22" applyNumberFormat="1" applyFont="1" applyFill="1" applyBorder="1" applyAlignment="1">
      <alignment horizontal="center" vertical="center" wrapText="1"/>
    </xf>
    <xf numFmtId="3" fontId="10" fillId="2" borderId="2" xfId="22" applyNumberFormat="1" applyFont="1" applyFill="1" applyBorder="1" applyAlignment="1">
      <alignment horizontal="right" vertical="center" wrapText="1"/>
    </xf>
    <xf numFmtId="3" fontId="10" fillId="2" borderId="2" xfId="21" applyNumberFormat="1" applyFont="1" applyFill="1" applyBorder="1" applyAlignment="1">
      <alignment horizontal="right" vertical="center"/>
    </xf>
    <xf numFmtId="0" fontId="10" fillId="2" borderId="2" xfId="0" applyFont="1" applyFill="1" applyBorder="1" applyAlignment="1">
      <alignment horizontal="center"/>
    </xf>
    <xf numFmtId="3" fontId="10" fillId="2" borderId="2" xfId="21" applyNumberFormat="1" applyFont="1" applyFill="1" applyBorder="1" applyAlignment="1">
      <alignment horizontal="right" vertical="center" wrapText="1"/>
    </xf>
    <xf numFmtId="0" fontId="25" fillId="2" borderId="2" xfId="21" applyFont="1" applyFill="1" applyBorder="1" applyAlignment="1">
      <alignment horizontal="center" vertical="center"/>
    </xf>
    <xf numFmtId="3" fontId="25" fillId="2" borderId="2" xfId="22" applyNumberFormat="1" applyFont="1" applyFill="1" applyBorder="1" applyAlignment="1">
      <alignment horizontal="center" vertical="center" wrapText="1"/>
    </xf>
    <xf numFmtId="1" fontId="26" fillId="2" borderId="2" xfId="20" applyNumberFormat="1" applyFont="1" applyFill="1" applyBorder="1" applyAlignment="1">
      <alignment horizontal="left" vertical="center" wrapText="1"/>
    </xf>
    <xf numFmtId="1" fontId="26" fillId="2" borderId="2" xfId="20" applyNumberFormat="1" applyFont="1" applyFill="1" applyBorder="1" applyAlignment="1">
      <alignment horizontal="center" vertical="center" wrapText="1"/>
    </xf>
    <xf numFmtId="1" fontId="17" fillId="2" borderId="2" xfId="20" applyNumberFormat="1" applyFont="1" applyFill="1" applyBorder="1" applyAlignment="1">
      <alignment horizontal="center" vertical="center" wrapText="1"/>
    </xf>
    <xf numFmtId="3" fontId="17" fillId="2" borderId="2" xfId="20" applyNumberFormat="1" applyFont="1" applyFill="1" applyBorder="1" applyAlignment="1">
      <alignment horizontal="center" vertical="center" wrapText="1"/>
    </xf>
    <xf numFmtId="3" fontId="17" fillId="2" borderId="2" xfId="22" applyNumberFormat="1" applyFont="1" applyFill="1" applyBorder="1" applyAlignment="1">
      <alignment horizontal="center" vertical="center" wrapText="1"/>
    </xf>
    <xf numFmtId="3" fontId="26" fillId="2" borderId="2" xfId="22" applyNumberFormat="1" applyFont="1" applyFill="1" applyBorder="1" applyAlignment="1">
      <alignment horizontal="right" vertical="center" wrapText="1"/>
    </xf>
    <xf numFmtId="3" fontId="10" fillId="2" borderId="2" xfId="21" applyNumberFormat="1" applyFont="1" applyFill="1" applyBorder="1" applyAlignment="1">
      <alignment vertical="center" wrapText="1"/>
    </xf>
    <xf numFmtId="3" fontId="10" fillId="2" borderId="2" xfId="22" quotePrefix="1" applyNumberFormat="1" applyFont="1" applyFill="1" applyBorder="1" applyAlignment="1">
      <alignment horizontal="center" vertical="center" wrapText="1"/>
    </xf>
    <xf numFmtId="3" fontId="10" fillId="2" borderId="2" xfId="22" quotePrefix="1" applyNumberFormat="1" applyFont="1" applyFill="1" applyBorder="1" applyAlignment="1">
      <alignment horizontal="right" vertical="center" wrapText="1"/>
    </xf>
    <xf numFmtId="0" fontId="5" fillId="2" borderId="0" xfId="0" applyFont="1" applyFill="1" applyAlignment="1">
      <alignment vertical="center"/>
    </xf>
    <xf numFmtId="3" fontId="10" fillId="2" borderId="2" xfId="20" applyNumberFormat="1" applyFont="1" applyFill="1" applyBorder="1" applyAlignment="1">
      <alignment horizontal="center" vertical="center" wrapText="1"/>
    </xf>
    <xf numFmtId="0" fontId="5" fillId="2" borderId="0" xfId="0" applyFont="1" applyFill="1" applyAlignment="1">
      <alignment horizontal="center"/>
    </xf>
    <xf numFmtId="3" fontId="10" fillId="2" borderId="2" xfId="21" applyNumberFormat="1" applyFont="1" applyFill="1" applyBorder="1" applyAlignment="1">
      <alignment horizontal="center" wrapText="1"/>
    </xf>
    <xf numFmtId="3" fontId="10" fillId="2" borderId="2" xfId="21" applyNumberFormat="1" applyFont="1" applyFill="1" applyBorder="1" applyAlignment="1">
      <alignment horizontal="center" vertical="center" wrapText="1"/>
    </xf>
    <xf numFmtId="3" fontId="10" fillId="2" borderId="2" xfId="20" quotePrefix="1" applyNumberFormat="1" applyFont="1" applyFill="1" applyBorder="1" applyAlignment="1">
      <alignment horizontal="right" vertical="center" wrapText="1"/>
    </xf>
    <xf numFmtId="14" fontId="10" fillId="2" borderId="2" xfId="22" quotePrefix="1" applyNumberFormat="1" applyFont="1" applyFill="1" applyBorder="1" applyAlignment="1">
      <alignment horizontal="right" vertical="center" wrapText="1"/>
    </xf>
    <xf numFmtId="14" fontId="10" fillId="2" borderId="2" xfId="22" quotePrefix="1" applyNumberFormat="1" applyFont="1" applyFill="1" applyBorder="1" applyAlignment="1">
      <alignment horizontal="center" vertical="center" wrapText="1"/>
    </xf>
    <xf numFmtId="0" fontId="26" fillId="2" borderId="2" xfId="0" applyFont="1" applyFill="1" applyBorder="1" applyAlignment="1">
      <alignment vertical="center" wrapText="1"/>
    </xf>
    <xf numFmtId="166" fontId="10" fillId="2" borderId="2" xfId="28" applyNumberFormat="1" applyFont="1" applyFill="1" applyBorder="1" applyAlignment="1">
      <alignment vertical="center" wrapText="1"/>
    </xf>
    <xf numFmtId="166" fontId="10" fillId="2" borderId="2" xfId="28" applyNumberFormat="1" applyFont="1" applyFill="1" applyBorder="1" applyAlignment="1">
      <alignment horizontal="center" vertical="center" wrapText="1"/>
    </xf>
    <xf numFmtId="3" fontId="10" fillId="2" borderId="2" xfId="29" applyNumberFormat="1" applyFont="1" applyFill="1" applyBorder="1" applyAlignment="1">
      <alignment horizontal="center" vertical="center" wrapText="1"/>
    </xf>
    <xf numFmtId="3" fontId="10" fillId="2" borderId="2" xfId="0" applyNumberFormat="1" applyFont="1" applyFill="1" applyBorder="1" applyAlignment="1">
      <alignment horizontal="right" vertical="center"/>
    </xf>
    <xf numFmtId="168" fontId="10" fillId="2" borderId="2" xfId="26" applyNumberFormat="1" applyFont="1" applyFill="1" applyBorder="1" applyAlignment="1">
      <alignment horizontal="center" vertical="center"/>
    </xf>
    <xf numFmtId="3" fontId="17" fillId="2" borderId="2" xfId="0" applyNumberFormat="1" applyFont="1" applyFill="1" applyBorder="1"/>
    <xf numFmtId="3" fontId="10" fillId="2" borderId="2" xfId="0" applyNumberFormat="1" applyFont="1" applyFill="1" applyBorder="1" applyAlignment="1">
      <alignment horizontal="center"/>
    </xf>
    <xf numFmtId="3" fontId="10" fillId="2" borderId="2" xfId="26" applyNumberFormat="1" applyFont="1" applyFill="1" applyBorder="1" applyAlignment="1">
      <alignment horizontal="right" vertical="center"/>
    </xf>
    <xf numFmtId="166" fontId="10" fillId="2" borderId="2" xfId="28" applyNumberFormat="1" applyFont="1" applyFill="1" applyBorder="1" applyAlignment="1">
      <alignment horizontal="justify" vertical="center" wrapText="1"/>
    </xf>
    <xf numFmtId="166" fontId="10" fillId="2" borderId="2" xfId="28" applyNumberFormat="1" applyFont="1" applyFill="1" applyBorder="1" applyAlignment="1">
      <alignment horizontal="left" vertical="center" wrapText="1"/>
    </xf>
    <xf numFmtId="166" fontId="10" fillId="2" borderId="2" xfId="28" applyNumberFormat="1" applyFont="1" applyFill="1" applyBorder="1" applyAlignment="1">
      <alignment horizontal="justify" vertical="center"/>
    </xf>
    <xf numFmtId="3" fontId="10" fillId="2" borderId="2" xfId="29" applyNumberFormat="1" applyFont="1" applyFill="1" applyBorder="1" applyAlignment="1">
      <alignment horizontal="center" vertical="center"/>
    </xf>
    <xf numFmtId="168" fontId="10" fillId="2" borderId="2" xfId="26" applyNumberFormat="1" applyFont="1" applyFill="1" applyBorder="1" applyAlignment="1">
      <alignment horizontal="right" vertical="center"/>
    </xf>
    <xf numFmtId="3" fontId="10" fillId="2" borderId="2" xfId="0" applyNumberFormat="1" applyFont="1" applyFill="1" applyBorder="1"/>
    <xf numFmtId="0" fontId="17" fillId="2" borderId="2" xfId="8" applyFont="1" applyFill="1" applyBorder="1" applyAlignment="1">
      <alignment horizontal="center" vertical="center"/>
    </xf>
    <xf numFmtId="0" fontId="17" fillId="2" borderId="2" xfId="0" applyFont="1" applyFill="1" applyBorder="1" applyAlignment="1">
      <alignment horizontal="center" vertical="center" wrapText="1"/>
    </xf>
    <xf numFmtId="0" fontId="17" fillId="2" borderId="2" xfId="15" applyFont="1" applyFill="1" applyBorder="1" applyAlignment="1">
      <alignment horizontal="center" vertical="center" wrapText="1"/>
    </xf>
    <xf numFmtId="166" fontId="17" fillId="2" borderId="2" xfId="27" applyNumberFormat="1" applyFont="1" applyFill="1" applyBorder="1" applyAlignment="1">
      <alignment horizontal="center" vertical="center" wrapText="1"/>
    </xf>
    <xf numFmtId="3" fontId="26" fillId="2" borderId="2" xfId="24" applyNumberFormat="1" applyFont="1" applyFill="1" applyBorder="1" applyAlignment="1">
      <alignment horizontal="center" vertical="center" wrapText="1"/>
    </xf>
    <xf numFmtId="3" fontId="26" fillId="2" borderId="2" xfId="24" applyNumberFormat="1" applyFont="1" applyFill="1" applyBorder="1" applyAlignment="1">
      <alignment horizontal="right" vertical="center" wrapText="1"/>
    </xf>
    <xf numFmtId="0" fontId="10" fillId="2" borderId="2" xfId="0" applyFont="1" applyFill="1" applyBorder="1" applyAlignment="1">
      <alignment wrapText="1"/>
    </xf>
    <xf numFmtId="3" fontId="17" fillId="2" borderId="2" xfId="24" applyNumberFormat="1" applyFont="1" applyFill="1" applyBorder="1" applyAlignment="1">
      <alignment horizontal="center" vertical="center" wrapText="1"/>
    </xf>
    <xf numFmtId="3" fontId="26" fillId="2" borderId="2" xfId="26" applyNumberFormat="1" applyFont="1" applyFill="1" applyBorder="1" applyAlignment="1">
      <alignment horizontal="right" vertical="center" wrapText="1"/>
    </xf>
    <xf numFmtId="3" fontId="26" fillId="2" borderId="2" xfId="26" applyNumberFormat="1" applyFont="1" applyFill="1" applyBorder="1" applyAlignment="1">
      <alignment vertical="center" wrapText="1"/>
    </xf>
    <xf numFmtId="3" fontId="26" fillId="2" borderId="2" xfId="26" applyNumberFormat="1" applyFont="1" applyFill="1" applyBorder="1" applyAlignment="1">
      <alignment horizontal="center" vertical="center" wrapText="1"/>
    </xf>
    <xf numFmtId="3" fontId="10" fillId="2" borderId="2" xfId="29" applyNumberFormat="1" applyFont="1" applyFill="1" applyBorder="1" applyAlignment="1">
      <alignment vertical="center" wrapText="1"/>
    </xf>
    <xf numFmtId="3" fontId="26" fillId="2" borderId="2" xfId="24" applyNumberFormat="1" applyFont="1" applyFill="1" applyBorder="1" applyAlignment="1">
      <alignment vertical="center" wrapText="1"/>
    </xf>
    <xf numFmtId="3" fontId="10" fillId="2" borderId="2" xfId="24" applyNumberFormat="1" applyFont="1" applyFill="1" applyBorder="1" applyAlignment="1">
      <alignment horizontal="right" vertical="center" wrapText="1"/>
    </xf>
    <xf numFmtId="3" fontId="10" fillId="2" borderId="2" xfId="24" applyNumberFormat="1" applyFont="1" applyFill="1" applyBorder="1" applyAlignment="1">
      <alignment vertical="center" wrapText="1"/>
    </xf>
    <xf numFmtId="3" fontId="17" fillId="2" borderId="2" xfId="26" applyNumberFormat="1" applyFont="1" applyFill="1" applyBorder="1" applyAlignment="1">
      <alignment vertical="center" wrapText="1"/>
    </xf>
    <xf numFmtId="3" fontId="10" fillId="2" borderId="2" xfId="26" applyNumberFormat="1" applyFont="1" applyFill="1" applyBorder="1" applyAlignment="1">
      <alignment horizontal="right" vertical="center" wrapText="1"/>
    </xf>
    <xf numFmtId="3" fontId="10" fillId="2" borderId="2" xfId="29" applyNumberFormat="1" applyFont="1" applyFill="1" applyBorder="1" applyAlignment="1">
      <alignment vertical="center"/>
    </xf>
    <xf numFmtId="3" fontId="10" fillId="2" borderId="2" xfId="0" applyNumberFormat="1" applyFont="1" applyFill="1" applyBorder="1" applyAlignment="1">
      <alignment horizontal="right" vertical="center" wrapText="1"/>
    </xf>
    <xf numFmtId="168" fontId="10" fillId="2" borderId="2" xfId="26" applyNumberFormat="1" applyFont="1" applyFill="1" applyBorder="1" applyAlignment="1">
      <alignment horizontal="center" vertical="center" wrapText="1"/>
    </xf>
    <xf numFmtId="175" fontId="10" fillId="2" borderId="2" xfId="0" applyNumberFormat="1" applyFont="1" applyFill="1" applyBorder="1" applyAlignment="1">
      <alignment horizontal="center" vertical="center" wrapText="1"/>
    </xf>
    <xf numFmtId="3" fontId="17" fillId="2" borderId="2" xfId="29" applyNumberFormat="1" applyFont="1" applyFill="1" applyBorder="1" applyAlignment="1">
      <alignment horizontal="center" vertical="center" wrapText="1"/>
    </xf>
    <xf numFmtId="166" fontId="10" fillId="2" borderId="2" xfId="28" applyNumberFormat="1" applyFont="1" applyFill="1" applyBorder="1" applyAlignment="1">
      <alignment vertical="center"/>
    </xf>
    <xf numFmtId="3" fontId="10" fillId="2" borderId="2" xfId="29" applyNumberFormat="1" applyFont="1" applyFill="1" applyBorder="1" applyAlignment="1">
      <alignment horizontal="right" vertical="center" wrapText="1"/>
    </xf>
    <xf numFmtId="3" fontId="10" fillId="2" borderId="2" xfId="26" applyNumberFormat="1" applyFont="1" applyFill="1" applyBorder="1" applyAlignment="1">
      <alignment vertical="center" wrapText="1"/>
    </xf>
    <xf numFmtId="3" fontId="17" fillId="2" borderId="2" xfId="29" applyNumberFormat="1" applyFont="1" applyFill="1" applyBorder="1" applyAlignment="1">
      <alignment vertical="center" wrapText="1"/>
    </xf>
    <xf numFmtId="3" fontId="10" fillId="2" borderId="2" xfId="29" quotePrefix="1" applyNumberFormat="1" applyFont="1" applyFill="1" applyBorder="1" applyAlignment="1">
      <alignment horizontal="center" vertical="center" wrapText="1"/>
    </xf>
    <xf numFmtId="176" fontId="10" fillId="2" borderId="2" xfId="29" applyNumberFormat="1" applyFont="1" applyFill="1" applyBorder="1" applyAlignment="1">
      <alignment horizontal="center" vertical="center" wrapText="1"/>
    </xf>
    <xf numFmtId="177" fontId="10" fillId="2" borderId="2" xfId="26" applyNumberFormat="1" applyFont="1" applyFill="1" applyBorder="1" applyAlignment="1">
      <alignment horizontal="right" vertical="center" wrapText="1"/>
    </xf>
    <xf numFmtId="49" fontId="10" fillId="2" borderId="2" xfId="29" applyNumberFormat="1" applyFont="1" applyFill="1" applyBorder="1" applyAlignment="1">
      <alignment horizontal="center" vertical="center"/>
    </xf>
    <xf numFmtId="0" fontId="10" fillId="2" borderId="2" xfId="0" applyFont="1" applyFill="1" applyBorder="1" applyAlignment="1">
      <alignment horizontal="justify" vertical="center"/>
    </xf>
    <xf numFmtId="0" fontId="12" fillId="2" borderId="2" xfId="0" applyFont="1" applyFill="1" applyBorder="1"/>
    <xf numFmtId="0" fontId="20" fillId="2" borderId="2" xfId="0" applyFont="1" applyFill="1" applyBorder="1" applyAlignment="1">
      <alignment horizontal="center"/>
    </xf>
    <xf numFmtId="0" fontId="10" fillId="2" borderId="2" xfId="39" applyFont="1" applyFill="1" applyBorder="1" applyAlignment="1">
      <alignment horizontal="center" vertical="center" wrapText="1"/>
    </xf>
    <xf numFmtId="0" fontId="10" fillId="2" borderId="2" xfId="40" applyFont="1" applyFill="1" applyBorder="1" applyAlignment="1" applyProtection="1">
      <alignment horizontal="left" vertical="center" wrapText="1"/>
      <protection locked="0"/>
    </xf>
    <xf numFmtId="2" fontId="10" fillId="2" borderId="2" xfId="39" applyNumberFormat="1" applyFont="1" applyFill="1" applyBorder="1" applyAlignment="1" applyProtection="1">
      <alignment horizontal="center" vertical="center" wrapText="1"/>
      <protection locked="0"/>
    </xf>
    <xf numFmtId="166" fontId="10" fillId="2" borderId="2" xfId="41" applyNumberFormat="1" applyFont="1" applyFill="1" applyBorder="1" applyAlignment="1" applyProtection="1">
      <alignment horizontal="center" vertical="center" wrapText="1"/>
    </xf>
    <xf numFmtId="49" fontId="10" fillId="2" borderId="2" xfId="41" applyNumberFormat="1" applyFont="1" applyFill="1" applyBorder="1" applyAlignment="1" applyProtection="1">
      <alignment horizontal="center" vertical="center" wrapText="1"/>
    </xf>
    <xf numFmtId="166" fontId="10" fillId="2" borderId="2" xfId="41" applyNumberFormat="1" applyFont="1" applyFill="1" applyBorder="1" applyAlignment="1" applyProtection="1">
      <alignment horizontal="right" vertical="center" wrapText="1"/>
    </xf>
    <xf numFmtId="0" fontId="10" fillId="2" borderId="2" xfId="39" applyFont="1" applyFill="1" applyBorder="1" applyAlignment="1">
      <alignment horizontal="left" vertical="center" wrapText="1"/>
    </xf>
    <xf numFmtId="0" fontId="10" fillId="2" borderId="2" xfId="40" applyFont="1" applyFill="1" applyBorder="1" applyAlignment="1" applyProtection="1">
      <alignment horizontal="center" vertical="center" wrapText="1"/>
      <protection locked="0"/>
    </xf>
    <xf numFmtId="1" fontId="17" fillId="2" borderId="2" xfId="39" applyNumberFormat="1" applyFont="1" applyFill="1" applyBorder="1" applyAlignment="1" applyProtection="1">
      <alignment horizontal="center" vertical="center" wrapText="1"/>
      <protection hidden="1"/>
    </xf>
    <xf numFmtId="0" fontId="17" fillId="2" borderId="2" xfId="39" applyFont="1" applyFill="1" applyBorder="1" applyAlignment="1">
      <alignment horizontal="left" vertical="center" wrapText="1"/>
    </xf>
    <xf numFmtId="0" fontId="17" fillId="2" borderId="2" xfId="40" applyFont="1" applyFill="1" applyBorder="1" applyAlignment="1" applyProtection="1">
      <alignment horizontal="center" vertical="center" wrapText="1"/>
      <protection locked="0"/>
    </xf>
    <xf numFmtId="166" fontId="17" fillId="2" borderId="2" xfId="41" applyNumberFormat="1" applyFont="1" applyFill="1" applyBorder="1" applyAlignment="1" applyProtection="1">
      <alignment horizontal="center" vertical="center" wrapText="1"/>
    </xf>
    <xf numFmtId="49" fontId="17" fillId="2" borderId="2" xfId="41" applyNumberFormat="1" applyFont="1" applyFill="1" applyBorder="1" applyAlignment="1" applyProtection="1">
      <alignment horizontal="center" vertical="center" wrapText="1"/>
    </xf>
    <xf numFmtId="166" fontId="17" fillId="2" borderId="2" xfId="41" applyNumberFormat="1" applyFont="1" applyFill="1" applyBorder="1" applyAlignment="1" applyProtection="1">
      <alignment horizontal="right" vertical="center" wrapText="1"/>
    </xf>
    <xf numFmtId="1" fontId="10" fillId="2" borderId="2" xfId="39" applyNumberFormat="1" applyFont="1" applyFill="1" applyBorder="1" applyAlignment="1" applyProtection="1">
      <alignment horizontal="center" vertical="center" wrapText="1"/>
      <protection hidden="1"/>
    </xf>
    <xf numFmtId="164" fontId="10" fillId="2" borderId="2" xfId="42" applyFont="1" applyFill="1" applyBorder="1" applyAlignment="1" applyProtection="1">
      <alignment horizontal="right" vertical="center" wrapText="1"/>
    </xf>
    <xf numFmtId="0" fontId="17" fillId="2" borderId="2" xfId="0" applyFont="1" applyFill="1" applyBorder="1"/>
    <xf numFmtId="3" fontId="17" fillId="2" borderId="2" xfId="0" applyNumberFormat="1" applyFont="1" applyFill="1" applyBorder="1" applyAlignment="1">
      <alignment horizontal="right"/>
    </xf>
    <xf numFmtId="0" fontId="5" fillId="2" borderId="0" xfId="0" applyFont="1" applyFill="1" applyAlignment="1">
      <alignment horizontal="right"/>
    </xf>
    <xf numFmtId="0" fontId="10" fillId="2" borderId="2" xfId="43" applyFont="1" applyFill="1" applyBorder="1" applyAlignment="1">
      <alignment horizontal="center" vertical="center" wrapText="1"/>
    </xf>
    <xf numFmtId="0" fontId="10" fillId="2" borderId="2" xfId="44" applyFont="1" applyFill="1" applyBorder="1" applyAlignment="1">
      <alignment horizontal="left" vertical="center" wrapText="1"/>
    </xf>
    <xf numFmtId="0" fontId="10" fillId="2" borderId="2" xfId="45" applyFont="1" applyFill="1" applyBorder="1" applyAlignment="1">
      <alignment horizontal="center" vertical="center" wrapText="1"/>
    </xf>
    <xf numFmtId="0" fontId="10" fillId="2" borderId="2" xfId="45" applyFont="1" applyFill="1" applyBorder="1" applyAlignment="1">
      <alignment horizontal="center" vertical="center"/>
    </xf>
    <xf numFmtId="0" fontId="10" fillId="2" borderId="2" xfId="46" applyFont="1" applyFill="1" applyBorder="1" applyAlignment="1">
      <alignment horizontal="center" vertical="center" wrapText="1"/>
    </xf>
    <xf numFmtId="3" fontId="10" fillId="2" borderId="2" xfId="46" applyNumberFormat="1" applyFont="1" applyFill="1" applyBorder="1" applyAlignment="1">
      <alignment horizontal="right" vertical="center"/>
    </xf>
    <xf numFmtId="3" fontId="10" fillId="2" borderId="2" xfId="47" applyNumberFormat="1" applyFont="1" applyFill="1" applyBorder="1" applyAlignment="1">
      <alignment horizontal="right" vertical="center"/>
    </xf>
    <xf numFmtId="3" fontId="10" fillId="2" borderId="2" xfId="48" applyNumberFormat="1" applyFont="1" applyFill="1" applyBorder="1" applyAlignment="1">
      <alignment horizontal="right" vertical="center"/>
    </xf>
    <xf numFmtId="3" fontId="10" fillId="2" borderId="2" xfId="44" applyNumberFormat="1" applyFont="1" applyFill="1" applyBorder="1" applyAlignment="1">
      <alignment horizontal="left" vertical="center" wrapText="1"/>
    </xf>
    <xf numFmtId="3" fontId="10" fillId="2" borderId="2" xfId="46" applyNumberFormat="1" applyFont="1" applyFill="1" applyBorder="1" applyAlignment="1">
      <alignment horizontal="center" vertical="center" wrapText="1"/>
    </xf>
    <xf numFmtId="0" fontId="17" fillId="2" borderId="2" xfId="8" applyFont="1" applyFill="1" applyBorder="1" applyAlignment="1">
      <alignment horizontal="left" vertical="center" wrapText="1"/>
    </xf>
    <xf numFmtId="0" fontId="17" fillId="2" borderId="2" xfId="46" applyFont="1" applyFill="1" applyBorder="1" applyAlignment="1">
      <alignment horizontal="center" vertical="center" wrapText="1"/>
    </xf>
    <xf numFmtId="0" fontId="17" fillId="2" borderId="2" xfId="46" applyFont="1" applyFill="1" applyBorder="1" applyAlignment="1">
      <alignment horizontal="center" vertical="center"/>
    </xf>
    <xf numFmtId="3" fontId="17" fillId="2" borderId="2" xfId="46" applyNumberFormat="1" applyFont="1" applyFill="1" applyBorder="1" applyAlignment="1">
      <alignment horizontal="right" vertical="center"/>
    </xf>
    <xf numFmtId="0" fontId="17" fillId="2" borderId="2" xfId="43" applyFont="1" applyFill="1" applyBorder="1" applyAlignment="1">
      <alignment horizontal="center" vertical="center" wrapText="1"/>
    </xf>
    <xf numFmtId="0" fontId="17" fillId="2" borderId="2" xfId="43" applyFont="1" applyFill="1" applyBorder="1" applyAlignment="1">
      <alignment vertical="center" wrapText="1"/>
    </xf>
    <xf numFmtId="0" fontId="10" fillId="2" borderId="2" xfId="49" applyFont="1" applyFill="1" applyBorder="1" applyAlignment="1">
      <alignment horizontal="center" vertical="center" wrapText="1"/>
    </xf>
    <xf numFmtId="0" fontId="10" fillId="2" borderId="2" xfId="49" applyFont="1" applyFill="1" applyBorder="1" applyAlignment="1">
      <alignment horizontal="center" vertical="center"/>
    </xf>
    <xf numFmtId="0" fontId="10" fillId="2" borderId="2" xfId="50" applyFont="1" applyFill="1" applyBorder="1" applyAlignment="1">
      <alignment horizontal="center" vertical="center" wrapText="1"/>
    </xf>
    <xf numFmtId="166" fontId="10" fillId="2" borderId="2" xfId="51" applyNumberFormat="1" applyFont="1" applyFill="1" applyBorder="1" applyAlignment="1">
      <alignment horizontal="center" vertical="center" wrapText="1"/>
    </xf>
    <xf numFmtId="3" fontId="10" fillId="2" borderId="2" xfId="52" applyNumberFormat="1" applyFont="1" applyFill="1" applyBorder="1" applyAlignment="1">
      <alignment horizontal="right" vertical="center"/>
    </xf>
    <xf numFmtId="0" fontId="10" fillId="2" borderId="2" xfId="49" applyFont="1" applyFill="1" applyBorder="1" applyAlignment="1">
      <alignment horizontal="left" vertical="center" wrapText="1"/>
    </xf>
    <xf numFmtId="0" fontId="10" fillId="2" borderId="2" xfId="53" applyFont="1" applyFill="1" applyBorder="1" applyAlignment="1">
      <alignment horizontal="center" vertical="center" wrapText="1"/>
    </xf>
    <xf numFmtId="0" fontId="10" fillId="2" borderId="2" xfId="53" applyFont="1" applyFill="1" applyBorder="1" applyAlignment="1">
      <alignment horizontal="center" vertical="center"/>
    </xf>
    <xf numFmtId="3" fontId="10" fillId="2" borderId="2" xfId="54" applyNumberFormat="1" applyFont="1" applyFill="1" applyBorder="1" applyAlignment="1">
      <alignment horizontal="right" vertical="center"/>
    </xf>
    <xf numFmtId="0" fontId="10" fillId="2" borderId="2" xfId="44" applyFont="1" applyFill="1" applyBorder="1" applyAlignment="1">
      <alignment horizontal="center" vertical="center" wrapText="1"/>
    </xf>
    <xf numFmtId="0" fontId="10" fillId="2" borderId="2" xfId="55" applyFont="1" applyFill="1" applyBorder="1" applyAlignment="1">
      <alignment horizontal="center" vertical="center"/>
    </xf>
    <xf numFmtId="3" fontId="10" fillId="2" borderId="2" xfId="56" applyNumberFormat="1" applyFont="1" applyFill="1" applyBorder="1" applyAlignment="1">
      <alignment horizontal="right" vertical="center"/>
    </xf>
    <xf numFmtId="0" fontId="10" fillId="2" borderId="2" xfId="57" applyFont="1" applyFill="1" applyBorder="1" applyAlignment="1">
      <alignment horizontal="center" vertical="center" wrapText="1"/>
    </xf>
    <xf numFmtId="0" fontId="10" fillId="2" borderId="2" xfId="57" applyFont="1" applyFill="1" applyBorder="1" applyAlignment="1">
      <alignment horizontal="center" vertical="center"/>
    </xf>
    <xf numFmtId="3" fontId="10" fillId="2" borderId="2" xfId="58" applyNumberFormat="1" applyFont="1" applyFill="1" applyBorder="1" applyAlignment="1">
      <alignment horizontal="right" vertical="center"/>
    </xf>
    <xf numFmtId="2" fontId="10" fillId="2" borderId="2" xfId="15" applyNumberFormat="1" applyFont="1" applyFill="1" applyBorder="1" applyAlignment="1">
      <alignment horizontal="left" vertical="center" wrapText="1"/>
    </xf>
    <xf numFmtId="3" fontId="10" fillId="2" borderId="2" xfId="44" applyNumberFormat="1" applyFont="1" applyFill="1" applyBorder="1" applyAlignment="1">
      <alignment horizontal="center" vertical="center" wrapText="1"/>
    </xf>
    <xf numFmtId="3" fontId="10" fillId="2" borderId="2" xfId="44" applyNumberFormat="1" applyFont="1" applyFill="1" applyBorder="1" applyAlignment="1">
      <alignment horizontal="right" vertical="center"/>
    </xf>
    <xf numFmtId="0" fontId="10" fillId="2" borderId="2" xfId="46" applyFont="1" applyFill="1" applyBorder="1"/>
    <xf numFmtId="0" fontId="10" fillId="2" borderId="2" xfId="57" applyFont="1" applyFill="1" applyBorder="1" applyAlignment="1">
      <alignment horizontal="left" vertical="center" wrapText="1"/>
    </xf>
    <xf numFmtId="0" fontId="10" fillId="2" borderId="2" xfId="59" applyFont="1" applyFill="1" applyBorder="1" applyAlignment="1">
      <alignment horizontal="left" vertical="center" wrapText="1"/>
    </xf>
    <xf numFmtId="0" fontId="10" fillId="2" borderId="2" xfId="60" applyFont="1" applyFill="1" applyBorder="1" applyAlignment="1">
      <alignment horizontal="center" vertical="center" wrapText="1"/>
    </xf>
    <xf numFmtId="0" fontId="10" fillId="2" borderId="2" xfId="60" applyFont="1" applyFill="1" applyBorder="1" applyAlignment="1">
      <alignment horizontal="center" vertical="center"/>
    </xf>
    <xf numFmtId="3" fontId="10" fillId="2" borderId="2" xfId="61" applyNumberFormat="1" applyFont="1" applyFill="1" applyBorder="1" applyAlignment="1">
      <alignment horizontal="right" vertical="center"/>
    </xf>
    <xf numFmtId="0" fontId="10" fillId="2" borderId="2" xfId="62" applyFont="1" applyFill="1" applyBorder="1" applyAlignment="1">
      <alignment horizontal="center" vertical="center" wrapText="1"/>
    </xf>
    <xf numFmtId="0" fontId="10" fillId="2" borderId="2" xfId="62" applyFont="1" applyFill="1" applyBorder="1" applyAlignment="1">
      <alignment horizontal="center" vertical="center"/>
    </xf>
    <xf numFmtId="3" fontId="10" fillId="2" borderId="2" xfId="63" applyNumberFormat="1" applyFont="1" applyFill="1" applyBorder="1" applyAlignment="1">
      <alignment horizontal="right" vertical="center"/>
    </xf>
    <xf numFmtId="0" fontId="10" fillId="2" borderId="2" xfId="46" applyFont="1" applyFill="1" applyBorder="1" applyAlignment="1">
      <alignment horizontal="left" vertical="center" wrapText="1"/>
    </xf>
    <xf numFmtId="0" fontId="10" fillId="2" borderId="2" xfId="64" applyFont="1" applyFill="1" applyBorder="1" applyAlignment="1">
      <alignment horizontal="center" vertical="center" wrapText="1"/>
    </xf>
    <xf numFmtId="0" fontId="10" fillId="2" borderId="2" xfId="64" applyFont="1" applyFill="1" applyBorder="1" applyAlignment="1">
      <alignment horizontal="center" vertical="center"/>
    </xf>
    <xf numFmtId="3" fontId="10" fillId="2" borderId="2" xfId="65" applyNumberFormat="1" applyFont="1" applyFill="1" applyBorder="1" applyAlignment="1">
      <alignment horizontal="right" vertical="center"/>
    </xf>
    <xf numFmtId="0" fontId="10" fillId="2" borderId="2" xfId="66" applyFont="1" applyFill="1" applyBorder="1" applyAlignment="1">
      <alignment horizontal="left" vertical="center" wrapText="1"/>
    </xf>
    <xf numFmtId="0" fontId="10" fillId="2" borderId="2" xfId="66" applyFont="1" applyFill="1" applyBorder="1" applyAlignment="1">
      <alignment horizontal="center" vertical="center" wrapText="1"/>
    </xf>
    <xf numFmtId="0" fontId="10" fillId="2" borderId="2" xfId="66" applyFont="1" applyFill="1" applyBorder="1" applyAlignment="1">
      <alignment horizontal="center" vertical="center"/>
    </xf>
    <xf numFmtId="3" fontId="10" fillId="2" borderId="2" xfId="67" applyNumberFormat="1" applyFont="1" applyFill="1" applyBorder="1" applyAlignment="1">
      <alignment horizontal="right" vertical="center"/>
    </xf>
    <xf numFmtId="2" fontId="10" fillId="2" borderId="2" xfId="44" applyNumberFormat="1" applyFont="1" applyFill="1" applyBorder="1" applyAlignment="1">
      <alignment horizontal="left" vertical="center" wrapText="1"/>
    </xf>
    <xf numFmtId="0" fontId="10" fillId="2" borderId="2" xfId="46" applyFont="1" applyFill="1" applyBorder="1" applyAlignment="1">
      <alignment horizontal="center" vertical="center"/>
    </xf>
    <xf numFmtId="0" fontId="10" fillId="2" borderId="2" xfId="68" applyFont="1" applyFill="1" applyBorder="1" applyAlignment="1">
      <alignment horizontal="center" vertical="center" wrapText="1"/>
    </xf>
    <xf numFmtId="0" fontId="10" fillId="2" borderId="2" xfId="68" applyFont="1" applyFill="1" applyBorder="1" applyAlignment="1">
      <alignment horizontal="center" vertical="center"/>
    </xf>
    <xf numFmtId="3" fontId="10" fillId="2" borderId="2" xfId="69" applyNumberFormat="1" applyFont="1" applyFill="1" applyBorder="1" applyAlignment="1">
      <alignment horizontal="right" vertical="center"/>
    </xf>
    <xf numFmtId="0" fontId="10" fillId="2" borderId="2" xfId="0" applyFont="1" applyFill="1" applyBorder="1" applyAlignment="1">
      <alignment horizontal="left" vertical="top" wrapText="1"/>
    </xf>
    <xf numFmtId="166" fontId="17" fillId="2" borderId="2" xfId="26" applyNumberFormat="1" applyFont="1" applyFill="1" applyBorder="1" applyAlignment="1">
      <alignment horizontal="center" vertical="center"/>
    </xf>
    <xf numFmtId="166" fontId="17" fillId="2" borderId="2" xfId="26" applyNumberFormat="1" applyFont="1" applyFill="1" applyBorder="1" applyAlignment="1">
      <alignment horizontal="left" vertical="center" wrapText="1"/>
    </xf>
    <xf numFmtId="166" fontId="17" fillId="2" borderId="2" xfId="26" applyNumberFormat="1" applyFont="1" applyFill="1" applyBorder="1" applyAlignment="1">
      <alignment vertical="center" wrapText="1"/>
    </xf>
    <xf numFmtId="166" fontId="10" fillId="2" borderId="2" xfId="26" applyNumberFormat="1" applyFont="1" applyFill="1" applyBorder="1" applyAlignment="1">
      <alignment horizontal="center" vertical="center" wrapText="1"/>
    </xf>
    <xf numFmtId="166" fontId="17" fillId="2" borderId="2" xfId="26" applyNumberFormat="1" applyFont="1" applyFill="1" applyBorder="1" applyAlignment="1">
      <alignment vertical="center"/>
    </xf>
    <xf numFmtId="166" fontId="17" fillId="2" borderId="2" xfId="26" applyNumberFormat="1" applyFont="1" applyFill="1" applyBorder="1" applyAlignment="1">
      <alignment horizontal="right" vertical="center"/>
    </xf>
    <xf numFmtId="3" fontId="17" fillId="2" borderId="2" xfId="26" applyNumberFormat="1" applyFont="1" applyFill="1" applyBorder="1" applyAlignment="1">
      <alignment horizontal="right" vertical="center"/>
    </xf>
    <xf numFmtId="166" fontId="10" fillId="2" borderId="2" xfId="26" applyNumberFormat="1" applyFont="1" applyFill="1" applyBorder="1" applyAlignment="1">
      <alignment horizontal="center" vertical="center"/>
    </xf>
    <xf numFmtId="166" fontId="10" fillId="2" borderId="2" xfId="26" applyNumberFormat="1" applyFont="1" applyFill="1" applyBorder="1" applyAlignment="1">
      <alignment vertical="center"/>
    </xf>
    <xf numFmtId="166" fontId="10" fillId="2" borderId="2" xfId="26" applyNumberFormat="1" applyFont="1" applyFill="1" applyBorder="1" applyAlignment="1">
      <alignment horizontal="right" vertical="center"/>
    </xf>
    <xf numFmtId="166" fontId="4" fillId="2" borderId="2" xfId="26" applyNumberFormat="1" applyFont="1" applyFill="1" applyBorder="1" applyAlignment="1">
      <alignment horizontal="center" vertical="center"/>
    </xf>
    <xf numFmtId="166" fontId="4" fillId="2" borderId="2" xfId="26" applyNumberFormat="1" applyFont="1" applyFill="1" applyBorder="1" applyAlignment="1">
      <alignment horizontal="left" vertical="center" wrapText="1"/>
    </xf>
    <xf numFmtId="166" fontId="4" fillId="2" borderId="2" xfId="26" applyNumberFormat="1" applyFont="1" applyFill="1" applyBorder="1" applyAlignment="1">
      <alignment vertical="center" wrapText="1"/>
    </xf>
    <xf numFmtId="166" fontId="5" fillId="2" borderId="2" xfId="26" applyNumberFormat="1" applyFont="1" applyFill="1" applyBorder="1" applyAlignment="1">
      <alignment horizontal="center" vertical="center" wrapText="1"/>
    </xf>
    <xf numFmtId="166" fontId="4" fillId="2" borderId="2" xfId="26" applyNumberFormat="1" applyFont="1" applyFill="1" applyBorder="1" applyAlignment="1">
      <alignment vertical="center"/>
    </xf>
    <xf numFmtId="166" fontId="4" fillId="2" borderId="2" xfId="26" applyNumberFormat="1" applyFont="1" applyFill="1" applyBorder="1" applyAlignment="1">
      <alignment horizontal="right" vertical="center"/>
    </xf>
    <xf numFmtId="3" fontId="4" fillId="2" borderId="2" xfId="26" applyNumberFormat="1" applyFont="1" applyFill="1" applyBorder="1" applyAlignment="1">
      <alignment horizontal="right" vertical="center"/>
    </xf>
    <xf numFmtId="166" fontId="5" fillId="2" borderId="2" xfId="26" applyNumberFormat="1" applyFont="1" applyFill="1" applyBorder="1" applyAlignment="1">
      <alignment horizontal="center" vertical="center"/>
    </xf>
    <xf numFmtId="166" fontId="5" fillId="2" borderId="2" xfId="26" applyNumberFormat="1" applyFont="1" applyFill="1" applyBorder="1" applyAlignment="1">
      <alignment horizontal="right" vertical="center"/>
    </xf>
    <xf numFmtId="3" fontId="5" fillId="2" borderId="2" xfId="26" applyNumberFormat="1" applyFont="1" applyFill="1" applyBorder="1" applyAlignment="1">
      <alignment horizontal="right" vertical="center"/>
    </xf>
    <xf numFmtId="175" fontId="5" fillId="3" borderId="2" xfId="0" applyNumberFormat="1" applyFont="1" applyFill="1" applyBorder="1" applyAlignment="1">
      <alignment horizontal="center" vertical="center" wrapText="1"/>
    </xf>
    <xf numFmtId="166" fontId="5" fillId="3" borderId="2" xfId="0" applyNumberFormat="1" applyFont="1" applyFill="1" applyBorder="1" applyAlignment="1">
      <alignment horizontal="right" vertical="center"/>
    </xf>
    <xf numFmtId="0" fontId="41" fillId="2" borderId="2" xfId="0" applyFont="1" applyFill="1" applyBorder="1" applyAlignment="1">
      <alignment horizontal="justify" vertical="center" wrapText="1"/>
    </xf>
    <xf numFmtId="166" fontId="5" fillId="3" borderId="2" xfId="0" applyNumberFormat="1" applyFont="1" applyFill="1" applyBorder="1" applyAlignment="1">
      <alignment horizontal="right"/>
    </xf>
    <xf numFmtId="166" fontId="5" fillId="3" borderId="2" xfId="0" applyNumberFormat="1" applyFont="1" applyFill="1" applyBorder="1" applyAlignment="1">
      <alignment horizontal="center" vertical="center" wrapText="1"/>
    </xf>
    <xf numFmtId="166" fontId="5" fillId="4" borderId="2" xfId="0" applyNumberFormat="1" applyFont="1" applyFill="1" applyBorder="1" applyAlignment="1">
      <alignment horizontal="left" vertical="center" wrapText="1"/>
    </xf>
    <xf numFmtId="166" fontId="5" fillId="2" borderId="2" xfId="31" applyNumberFormat="1" applyFont="1" applyFill="1" applyBorder="1" applyAlignment="1">
      <alignment horizontal="right" vertical="center"/>
    </xf>
    <xf numFmtId="166" fontId="5" fillId="2" borderId="2" xfId="26" applyNumberFormat="1" applyFont="1" applyFill="1" applyBorder="1" applyAlignment="1">
      <alignment horizontal="right" vertical="center" wrapText="1"/>
    </xf>
    <xf numFmtId="166" fontId="5" fillId="2" borderId="2" xfId="31" applyNumberFormat="1" applyFont="1" applyFill="1" applyBorder="1" applyAlignment="1">
      <alignment horizontal="right" vertical="center" wrapText="1"/>
    </xf>
    <xf numFmtId="0" fontId="5" fillId="4" borderId="2" xfId="0" applyFont="1" applyFill="1" applyBorder="1" applyAlignment="1">
      <alignment horizontal="left" vertical="center" wrapText="1"/>
    </xf>
    <xf numFmtId="3" fontId="5" fillId="2" borderId="2" xfId="0" applyNumberFormat="1" applyFont="1" applyFill="1" applyBorder="1" applyAlignment="1">
      <alignment horizontal="right" vertical="center" wrapText="1"/>
    </xf>
    <xf numFmtId="175" fontId="5" fillId="4" borderId="2" xfId="0" applyNumberFormat="1" applyFont="1" applyFill="1" applyBorder="1" applyAlignment="1">
      <alignment horizontal="left" vertical="center" wrapText="1"/>
    </xf>
    <xf numFmtId="166" fontId="5" fillId="2" borderId="2" xfId="26" applyNumberFormat="1" applyFont="1" applyFill="1" applyBorder="1" applyAlignment="1">
      <alignment horizontal="left" vertical="center" wrapText="1"/>
    </xf>
    <xf numFmtId="3" fontId="5" fillId="2" borderId="2" xfId="0" applyNumberFormat="1" applyFont="1" applyFill="1" applyBorder="1" applyAlignment="1">
      <alignment horizontal="left" vertical="center" wrapText="1"/>
    </xf>
    <xf numFmtId="178" fontId="5" fillId="2" borderId="2" xfId="26" applyNumberFormat="1" applyFont="1" applyFill="1" applyBorder="1" applyAlignment="1">
      <alignment horizontal="center" vertical="center" wrapText="1"/>
    </xf>
    <xf numFmtId="0" fontId="5" fillId="4" borderId="2" xfId="0" applyFont="1" applyFill="1" applyBorder="1" applyAlignment="1">
      <alignment vertical="center" wrapText="1"/>
    </xf>
    <xf numFmtId="168" fontId="5" fillId="2" borderId="2" xfId="26" applyNumberFormat="1" applyFont="1" applyFill="1" applyBorder="1" applyAlignment="1">
      <alignment horizontal="right" vertical="center" wrapText="1"/>
    </xf>
    <xf numFmtId="166" fontId="5" fillId="2" borderId="2" xfId="31" applyNumberFormat="1" applyFont="1" applyFill="1" applyBorder="1" applyAlignment="1">
      <alignment horizontal="center" vertical="center" wrapText="1"/>
    </xf>
    <xf numFmtId="166" fontId="5" fillId="2" borderId="2" xfId="26" applyNumberFormat="1" applyFont="1" applyFill="1" applyBorder="1" applyAlignment="1">
      <alignment vertical="center" wrapText="1"/>
    </xf>
    <xf numFmtId="3" fontId="5" fillId="2" borderId="2" xfId="15" applyNumberFormat="1" applyFont="1" applyFill="1" applyBorder="1" applyAlignment="1">
      <alignment horizontal="center" vertical="center" wrapText="1"/>
    </xf>
    <xf numFmtId="168" fontId="5" fillId="2" borderId="2" xfId="31" applyNumberFormat="1" applyFont="1" applyFill="1" applyBorder="1" applyAlignment="1">
      <alignment horizontal="right" vertical="center" wrapText="1"/>
    </xf>
    <xf numFmtId="0" fontId="5" fillId="2" borderId="2" xfId="32" applyFont="1" applyFill="1" applyBorder="1" applyAlignment="1">
      <alignment horizontal="center" vertical="center" wrapText="1"/>
    </xf>
    <xf numFmtId="168" fontId="5" fillId="2" borderId="2" xfId="31" applyNumberFormat="1" applyFont="1" applyFill="1" applyBorder="1" applyAlignment="1">
      <alignment horizontal="right" vertical="center"/>
    </xf>
    <xf numFmtId="167" fontId="5" fillId="2" borderId="2" xfId="31" applyFont="1" applyFill="1" applyBorder="1" applyAlignment="1">
      <alignment horizontal="center" vertical="center" wrapText="1"/>
    </xf>
    <xf numFmtId="3" fontId="5" fillId="2" borderId="2" xfId="32" applyNumberFormat="1" applyFont="1" applyFill="1" applyBorder="1" applyAlignment="1">
      <alignment horizontal="right" vertical="center" wrapText="1"/>
    </xf>
    <xf numFmtId="168" fontId="5" fillId="2" borderId="2" xfId="31" applyNumberFormat="1" applyFont="1" applyFill="1" applyBorder="1" applyAlignment="1">
      <alignment horizontal="center" vertical="center" wrapText="1"/>
    </xf>
    <xf numFmtId="173" fontId="5" fillId="2" borderId="2" xfId="26" applyFont="1" applyFill="1" applyBorder="1" applyAlignment="1">
      <alignment horizontal="center" vertical="center" wrapText="1"/>
    </xf>
    <xf numFmtId="166" fontId="5" fillId="2" borderId="2" xfId="30" applyNumberFormat="1" applyFont="1" applyFill="1" applyBorder="1" applyAlignment="1">
      <alignment horizontal="right" vertical="center" wrapText="1"/>
    </xf>
    <xf numFmtId="0" fontId="5" fillId="2" borderId="2" xfId="33" applyFont="1" applyFill="1" applyBorder="1" applyAlignment="1">
      <alignment horizontal="center" vertical="center" wrapText="1"/>
    </xf>
    <xf numFmtId="168" fontId="5" fillId="2" borderId="2" xfId="27" applyNumberFormat="1" applyFont="1" applyFill="1" applyBorder="1" applyAlignment="1">
      <alignment horizontal="right" vertical="center" wrapText="1"/>
    </xf>
    <xf numFmtId="168" fontId="5" fillId="2" borderId="2" xfId="26" applyNumberFormat="1" applyFont="1" applyFill="1" applyBorder="1" applyAlignment="1">
      <alignment horizontal="center" vertical="center" wrapText="1"/>
    </xf>
    <xf numFmtId="3" fontId="5" fillId="2" borderId="2" xfId="33" applyNumberFormat="1" applyFont="1" applyFill="1" applyBorder="1" applyAlignment="1">
      <alignment horizontal="right" vertical="center" wrapText="1"/>
    </xf>
    <xf numFmtId="3" fontId="5" fillId="2" borderId="2" xfId="34" applyNumberFormat="1" applyFont="1" applyFill="1" applyBorder="1" applyAlignment="1">
      <alignment horizontal="right" vertical="center" wrapText="1"/>
    </xf>
    <xf numFmtId="167" fontId="5" fillId="2" borderId="2" xfId="26" applyNumberFormat="1" applyFont="1" applyFill="1" applyBorder="1" applyAlignment="1">
      <alignment horizontal="center" vertical="center" wrapText="1"/>
    </xf>
    <xf numFmtId="168" fontId="5" fillId="2" borderId="2" xfId="27" applyNumberFormat="1" applyFont="1" applyFill="1" applyBorder="1" applyAlignment="1">
      <alignment horizontal="center" vertical="center" wrapText="1"/>
    </xf>
    <xf numFmtId="166" fontId="5" fillId="2" borderId="2" xfId="35" applyNumberFormat="1" applyFont="1" applyFill="1" applyBorder="1" applyAlignment="1">
      <alignment horizontal="left" vertical="center" wrapText="1"/>
    </xf>
    <xf numFmtId="3" fontId="5" fillId="2" borderId="2" xfId="35" applyNumberFormat="1" applyFont="1" applyFill="1" applyBorder="1" applyAlignment="1">
      <alignment horizontal="right" vertical="center"/>
    </xf>
    <xf numFmtId="0" fontId="5" fillId="2" borderId="2" xfId="15" applyFont="1" applyFill="1" applyBorder="1" applyAlignment="1">
      <alignment horizontal="left" vertical="center" wrapText="1"/>
    </xf>
    <xf numFmtId="166" fontId="10" fillId="2" borderId="2" xfId="1" applyNumberFormat="1" applyFont="1" applyFill="1" applyBorder="1" applyAlignment="1">
      <alignment horizontal="center" vertical="center" wrapText="1"/>
    </xf>
    <xf numFmtId="166" fontId="10" fillId="2" borderId="2" xfId="1" applyNumberFormat="1" applyFont="1" applyFill="1" applyBorder="1" applyAlignment="1">
      <alignment horizontal="center" vertical="center"/>
    </xf>
    <xf numFmtId="0" fontId="26" fillId="2" borderId="2" xfId="0" applyFont="1" applyFill="1" applyBorder="1" applyAlignment="1">
      <alignment horizontal="center" vertical="center"/>
    </xf>
    <xf numFmtId="0" fontId="26" fillId="2" borderId="2" xfId="39" applyFont="1" applyFill="1" applyBorder="1" applyAlignment="1">
      <alignment horizontal="left" vertical="center" wrapText="1"/>
    </xf>
    <xf numFmtId="0" fontId="26" fillId="2" borderId="2" xfId="40" applyFont="1" applyFill="1" applyBorder="1" applyAlignment="1" applyProtection="1">
      <alignment horizontal="center" vertical="center" wrapText="1"/>
      <protection locked="0"/>
    </xf>
    <xf numFmtId="166" fontId="26" fillId="2" borderId="2" xfId="41" applyNumberFormat="1" applyFont="1" applyFill="1" applyBorder="1" applyAlignment="1" applyProtection="1">
      <alignment horizontal="center" vertical="center" wrapText="1"/>
    </xf>
    <xf numFmtId="49" fontId="26" fillId="2" borderId="2" xfId="41" applyNumberFormat="1" applyFont="1" applyFill="1" applyBorder="1" applyAlignment="1" applyProtection="1">
      <alignment horizontal="center" vertical="center" wrapText="1"/>
    </xf>
    <xf numFmtId="166" fontId="26" fillId="2" borderId="2" xfId="41" applyNumberFormat="1" applyFont="1" applyFill="1" applyBorder="1" applyAlignment="1" applyProtection="1">
      <alignment horizontal="right" vertical="center" wrapText="1"/>
    </xf>
    <xf numFmtId="0" fontId="42" fillId="2" borderId="2" xfId="0" applyFont="1" applyFill="1" applyBorder="1" applyAlignment="1">
      <alignment horizontal="center"/>
    </xf>
    <xf numFmtId="0" fontId="26" fillId="2" borderId="0" xfId="0" applyFont="1" applyFill="1"/>
    <xf numFmtId="0" fontId="5" fillId="2" borderId="10" xfId="6" applyFont="1" applyFill="1" applyBorder="1" applyAlignment="1">
      <alignment horizontal="center" vertical="center" wrapText="1"/>
    </xf>
    <xf numFmtId="1" fontId="44" fillId="2" borderId="2" xfId="20" applyNumberFormat="1" applyFont="1" applyFill="1" applyBorder="1" applyAlignment="1">
      <alignment horizontal="left" vertical="center" wrapText="1"/>
    </xf>
    <xf numFmtId="166" fontId="45" fillId="2" borderId="2" xfId="1" applyNumberFormat="1" applyFont="1" applyFill="1" applyBorder="1" applyAlignment="1">
      <alignment horizontal="center" vertical="center"/>
    </xf>
    <xf numFmtId="166" fontId="45" fillId="2" borderId="2" xfId="1" applyNumberFormat="1" applyFont="1" applyFill="1" applyBorder="1" applyAlignment="1">
      <alignment horizontal="left" vertical="center" wrapText="1"/>
    </xf>
    <xf numFmtId="166" fontId="45" fillId="2" borderId="2" xfId="1" applyNumberFormat="1" applyFont="1" applyFill="1" applyBorder="1" applyAlignment="1">
      <alignment horizontal="center" vertical="center" wrapText="1"/>
    </xf>
    <xf numFmtId="166" fontId="45" fillId="2" borderId="2" xfId="1" applyNumberFormat="1" applyFont="1" applyFill="1" applyBorder="1" applyAlignment="1">
      <alignment vertical="center" wrapText="1"/>
    </xf>
    <xf numFmtId="0" fontId="46" fillId="2" borderId="2" xfId="0" applyFont="1" applyFill="1" applyBorder="1" applyAlignment="1">
      <alignment horizontal="left" vertical="center" wrapText="1"/>
    </xf>
    <xf numFmtId="0" fontId="46" fillId="2" borderId="2" xfId="0" applyFont="1" applyFill="1" applyBorder="1" applyAlignment="1">
      <alignment horizontal="center" vertical="center" wrapText="1"/>
    </xf>
    <xf numFmtId="166" fontId="46" fillId="2" borderId="2" xfId="1" applyNumberFormat="1" applyFont="1" applyFill="1" applyBorder="1" applyAlignment="1">
      <alignment horizontal="center" vertical="center" wrapText="1"/>
    </xf>
    <xf numFmtId="178" fontId="46" fillId="2" borderId="2" xfId="1" applyNumberFormat="1" applyFont="1" applyFill="1" applyBorder="1" applyAlignment="1">
      <alignment horizontal="center" vertical="center" wrapText="1"/>
    </xf>
    <xf numFmtId="3" fontId="46" fillId="2" borderId="2" xfId="0" applyNumberFormat="1" applyFont="1" applyFill="1" applyBorder="1" applyAlignment="1">
      <alignment horizontal="left" vertical="center" wrapText="1"/>
    </xf>
    <xf numFmtId="0" fontId="45" fillId="2" borderId="2" xfId="0" applyFont="1" applyFill="1" applyBorder="1" applyAlignment="1">
      <alignment horizontal="justify" vertical="center" wrapText="1"/>
    </xf>
    <xf numFmtId="0" fontId="45" fillId="2" borderId="2" xfId="0" applyFont="1" applyFill="1" applyBorder="1" applyAlignment="1">
      <alignment horizontal="center" vertical="center" wrapText="1"/>
    </xf>
    <xf numFmtId="166" fontId="45" fillId="2" borderId="2" xfId="30" applyNumberFormat="1" applyFont="1" applyFill="1" applyBorder="1" applyAlignment="1">
      <alignment horizontal="left" vertical="center" wrapText="1"/>
    </xf>
    <xf numFmtId="0" fontId="46" fillId="2" borderId="2" xfId="34" applyFont="1" applyFill="1" applyBorder="1" applyAlignment="1">
      <alignment horizontal="left" vertical="center" wrapText="1"/>
    </xf>
    <xf numFmtId="0" fontId="45" fillId="2" borderId="2" xfId="0" applyFont="1" applyFill="1" applyBorder="1" applyAlignment="1">
      <alignment horizontal="left" vertical="center" wrapText="1"/>
    </xf>
    <xf numFmtId="0" fontId="45" fillId="2" borderId="2" xfId="0" applyFont="1" applyFill="1" applyBorder="1" applyAlignment="1" applyProtection="1">
      <alignment horizontal="left" vertical="center" wrapText="1"/>
      <protection locked="0"/>
    </xf>
    <xf numFmtId="0" fontId="45" fillId="2" borderId="2" xfId="0" applyFont="1" applyFill="1" applyBorder="1" applyAlignment="1">
      <alignment horizontal="center" vertical="center"/>
    </xf>
    <xf numFmtId="0" fontId="46" fillId="2" borderId="2" xfId="0" applyFont="1" applyFill="1" applyBorder="1" applyAlignment="1">
      <alignment vertical="center" wrapText="1"/>
    </xf>
    <xf numFmtId="166" fontId="45" fillId="2" borderId="2" xfId="1" applyNumberFormat="1" applyFont="1" applyFill="1" applyBorder="1" applyAlignment="1">
      <alignment vertical="center"/>
    </xf>
    <xf numFmtId="166" fontId="46" fillId="2" borderId="2" xfId="1" applyNumberFormat="1" applyFont="1" applyFill="1" applyBorder="1" applyAlignment="1">
      <alignment horizontal="left" vertical="center" wrapText="1"/>
    </xf>
    <xf numFmtId="166" fontId="45" fillId="2" borderId="2" xfId="1" quotePrefix="1" applyNumberFormat="1" applyFont="1" applyFill="1" applyBorder="1" applyAlignment="1">
      <alignment horizontal="center" vertical="center" wrapText="1"/>
    </xf>
    <xf numFmtId="3" fontId="5" fillId="2" borderId="2" xfId="31" applyNumberFormat="1" applyFont="1" applyFill="1" applyBorder="1" applyAlignment="1">
      <alignment horizontal="right" vertical="center"/>
    </xf>
    <xf numFmtId="3" fontId="5" fillId="2" borderId="2" xfId="31" applyNumberFormat="1" applyFont="1" applyFill="1" applyBorder="1" applyAlignment="1">
      <alignment horizontal="right" vertical="center" wrapText="1"/>
    </xf>
    <xf numFmtId="3" fontId="5" fillId="2" borderId="2" xfId="26" applyNumberFormat="1" applyFont="1" applyFill="1" applyBorder="1" applyAlignment="1">
      <alignment horizontal="right" vertical="center" wrapText="1"/>
    </xf>
    <xf numFmtId="3" fontId="5" fillId="2" borderId="2" xfId="30" applyNumberFormat="1" applyFont="1" applyFill="1" applyBorder="1" applyAlignment="1">
      <alignment horizontal="right" vertical="center" wrapText="1"/>
    </xf>
    <xf numFmtId="3" fontId="5" fillId="2" borderId="2" xfId="27" applyNumberFormat="1" applyFont="1" applyFill="1" applyBorder="1" applyAlignment="1">
      <alignment horizontal="right" vertical="center" wrapText="1"/>
    </xf>
    <xf numFmtId="166" fontId="47" fillId="2" borderId="2" xfId="1" applyNumberFormat="1" applyFont="1" applyFill="1" applyBorder="1" applyAlignment="1">
      <alignment horizontal="center" vertical="center" wrapText="1"/>
    </xf>
    <xf numFmtId="0" fontId="48" fillId="2" borderId="2" xfId="0" applyFont="1" applyFill="1" applyBorder="1" applyAlignment="1">
      <alignment horizontal="center" vertical="center" wrapText="1"/>
    </xf>
    <xf numFmtId="0" fontId="48" fillId="2" borderId="2" xfId="0" applyFont="1" applyFill="1" applyBorder="1" applyAlignment="1">
      <alignment horizontal="left" vertical="center" wrapText="1"/>
    </xf>
    <xf numFmtId="3" fontId="48" fillId="2" borderId="2" xfId="3" applyNumberFormat="1" applyFont="1" applyFill="1" applyBorder="1" applyAlignment="1">
      <alignment vertical="center" wrapText="1"/>
    </xf>
    <xf numFmtId="166" fontId="48" fillId="2" borderId="2" xfId="3" applyNumberFormat="1" applyFont="1" applyFill="1" applyBorder="1" applyAlignment="1">
      <alignment vertical="center"/>
    </xf>
    <xf numFmtId="166" fontId="48" fillId="2" borderId="2" xfId="0" applyNumberFormat="1" applyFont="1" applyFill="1" applyBorder="1" applyAlignment="1">
      <alignment horizontal="right" vertical="center"/>
    </xf>
    <xf numFmtId="166" fontId="48" fillId="2" borderId="2" xfId="3" applyNumberFormat="1" applyFont="1" applyFill="1" applyBorder="1" applyAlignment="1">
      <alignment horizontal="center" vertical="center" wrapText="1"/>
    </xf>
    <xf numFmtId="168" fontId="48" fillId="2" borderId="2" xfId="12" applyNumberFormat="1" applyFont="1" applyFill="1" applyBorder="1" applyAlignment="1">
      <alignment horizontal="right" vertical="center" wrapText="1"/>
    </xf>
    <xf numFmtId="0" fontId="48" fillId="2" borderId="2" xfId="0" applyFont="1" applyFill="1" applyBorder="1" applyAlignment="1">
      <alignment horizontal="center" wrapText="1"/>
    </xf>
    <xf numFmtId="0" fontId="48" fillId="2" borderId="9" xfId="15" applyFont="1" applyFill="1" applyBorder="1" applyAlignment="1">
      <alignment horizontal="center" vertical="center" wrapText="1"/>
    </xf>
    <xf numFmtId="168" fontId="48" fillId="2" borderId="9" xfId="3" applyNumberFormat="1" applyFont="1" applyFill="1" applyBorder="1" applyAlignment="1">
      <alignment horizontal="right" vertical="center" wrapText="1"/>
    </xf>
    <xf numFmtId="0" fontId="48" fillId="2" borderId="2" xfId="6" applyFont="1" applyFill="1" applyBorder="1" applyAlignment="1">
      <alignment horizontal="center" vertical="center" wrapText="1"/>
    </xf>
    <xf numFmtId="3" fontId="48" fillId="2" borderId="2" xfId="3" applyNumberFormat="1" applyFont="1" applyFill="1" applyBorder="1" applyAlignment="1">
      <alignment horizontal="right" vertical="center" wrapText="1"/>
    </xf>
    <xf numFmtId="166" fontId="49" fillId="2" borderId="2" xfId="0" applyNumberFormat="1" applyFont="1" applyFill="1" applyBorder="1"/>
    <xf numFmtId="0" fontId="4" fillId="2" borderId="2" xfId="0" applyFont="1" applyFill="1" applyBorder="1" applyAlignment="1">
      <alignment horizontal="center" vertical="center"/>
    </xf>
    <xf numFmtId="166" fontId="4" fillId="2" borderId="2" xfId="0" applyNumberFormat="1" applyFont="1" applyFill="1" applyBorder="1" applyAlignment="1">
      <alignment vertical="center"/>
    </xf>
    <xf numFmtId="0" fontId="4" fillId="2" borderId="2" xfId="0" applyFont="1" applyFill="1" applyBorder="1" applyAlignment="1">
      <alignment horizontal="left" vertical="center" wrapText="1"/>
    </xf>
    <xf numFmtId="0" fontId="17" fillId="2" borderId="2" xfId="0" quotePrefix="1" applyFont="1" applyFill="1" applyBorder="1" applyAlignment="1">
      <alignment horizontal="center" vertical="center"/>
    </xf>
    <xf numFmtId="166" fontId="17" fillId="2" borderId="2" xfId="3" applyNumberFormat="1" applyFont="1" applyFill="1" applyBorder="1" applyAlignment="1">
      <alignment horizontal="right" vertical="center" wrapText="1"/>
    </xf>
    <xf numFmtId="166" fontId="17" fillId="2" borderId="2" xfId="3" applyNumberFormat="1" applyFont="1" applyFill="1" applyBorder="1" applyAlignment="1">
      <alignment horizontal="center" vertical="center" wrapText="1"/>
    </xf>
    <xf numFmtId="166" fontId="20" fillId="2" borderId="2" xfId="3" applyNumberFormat="1" applyFont="1" applyFill="1" applyBorder="1" applyAlignment="1">
      <alignment horizontal="center" vertical="center" wrapText="1"/>
    </xf>
    <xf numFmtId="166" fontId="4" fillId="2" borderId="2" xfId="0" applyNumberFormat="1" applyFont="1" applyFill="1" applyBorder="1"/>
    <xf numFmtId="0" fontId="4" fillId="2" borderId="2" xfId="0" applyFont="1" applyFill="1" applyBorder="1" applyAlignment="1">
      <alignment horizontal="left" vertical="center"/>
    </xf>
    <xf numFmtId="0" fontId="4" fillId="2" borderId="2" xfId="0" applyFont="1" applyFill="1" applyBorder="1" applyAlignment="1">
      <alignment horizontal="center" wrapText="1"/>
    </xf>
    <xf numFmtId="3" fontId="4" fillId="2" borderId="2" xfId="2" applyNumberFormat="1" applyFont="1" applyFill="1" applyBorder="1" applyAlignment="1">
      <alignment vertical="center" wrapText="1"/>
    </xf>
    <xf numFmtId="0" fontId="17" fillId="2" borderId="2" xfId="6" applyFont="1" applyFill="1" applyBorder="1" applyAlignment="1">
      <alignment horizontal="left" vertical="center" wrapText="1"/>
    </xf>
    <xf numFmtId="166" fontId="5" fillId="2" borderId="8" xfId="7" applyNumberFormat="1" applyFont="1" applyFill="1" applyBorder="1" applyAlignment="1">
      <alignment vertical="center"/>
    </xf>
    <xf numFmtId="0" fontId="4" fillId="2" borderId="2" xfId="8" quotePrefix="1" applyFont="1" applyFill="1" applyBorder="1" applyAlignment="1">
      <alignment horizontal="center" vertical="center"/>
    </xf>
    <xf numFmtId="0" fontId="5" fillId="2" borderId="2" xfId="0" applyFont="1" applyFill="1" applyBorder="1" applyAlignment="1">
      <alignment horizontal="center" wrapText="1"/>
    </xf>
    <xf numFmtId="3" fontId="10" fillId="2" borderId="2" xfId="2" applyNumberFormat="1" applyFont="1" applyFill="1" applyBorder="1" applyAlignment="1">
      <alignment horizontal="right" vertical="center" wrapText="1"/>
    </xf>
    <xf numFmtId="166" fontId="10" fillId="2" borderId="9" xfId="3" applyNumberFormat="1" applyFont="1" applyFill="1" applyBorder="1" applyAlignment="1">
      <alignment horizontal="right" vertical="center"/>
    </xf>
    <xf numFmtId="166" fontId="10" fillId="2" borderId="2" xfId="5" applyNumberFormat="1" applyFont="1" applyFill="1" applyBorder="1" applyAlignment="1">
      <alignment horizontal="right" vertical="center" wrapText="1"/>
    </xf>
    <xf numFmtId="3" fontId="10" fillId="2" borderId="2" xfId="1" applyNumberFormat="1" applyFont="1" applyFill="1" applyBorder="1" applyAlignment="1">
      <alignment vertical="center"/>
    </xf>
    <xf numFmtId="3" fontId="10" fillId="2" borderId="2" xfId="1" applyNumberFormat="1" applyFont="1" applyFill="1" applyBorder="1" applyAlignment="1">
      <alignment vertical="center" wrapText="1"/>
    </xf>
    <xf numFmtId="166" fontId="10" fillId="2" borderId="2" xfId="1" applyNumberFormat="1" applyFont="1" applyFill="1" applyBorder="1" applyAlignment="1">
      <alignment vertical="center" wrapText="1"/>
    </xf>
    <xf numFmtId="3" fontId="10" fillId="2" borderId="9" xfId="1" applyNumberFormat="1" applyFont="1" applyFill="1" applyBorder="1" applyAlignment="1">
      <alignment horizontal="right" vertical="center" wrapText="1"/>
    </xf>
    <xf numFmtId="0" fontId="17" fillId="2" borderId="2" xfId="8" quotePrefix="1" applyFont="1" applyFill="1" applyBorder="1" applyAlignment="1">
      <alignment horizontal="center" vertical="center"/>
    </xf>
    <xf numFmtId="2" fontId="10" fillId="2" borderId="2" xfId="0" applyNumberFormat="1" applyFont="1" applyFill="1" applyBorder="1" applyAlignment="1">
      <alignment horizontal="center" vertical="center" wrapText="1"/>
    </xf>
    <xf numFmtId="166" fontId="17" fillId="2" borderId="2" xfId="3" applyNumberFormat="1" applyFont="1" applyFill="1" applyBorder="1" applyAlignment="1">
      <alignment vertical="center" wrapText="1"/>
    </xf>
    <xf numFmtId="166" fontId="10" fillId="2" borderId="2" xfId="0" applyNumberFormat="1" applyFont="1" applyFill="1" applyBorder="1" applyAlignment="1">
      <alignment horizontal="center" vertical="center" wrapText="1"/>
    </xf>
    <xf numFmtId="3" fontId="10" fillId="2" borderId="2" xfId="3" applyNumberFormat="1" applyFont="1" applyFill="1" applyBorder="1" applyAlignment="1">
      <alignment vertical="center" wrapText="1"/>
    </xf>
    <xf numFmtId="2" fontId="17" fillId="2" borderId="2" xfId="0" applyNumberFormat="1" applyFont="1" applyFill="1" applyBorder="1" applyAlignment="1">
      <alignment horizontal="center" vertical="center" wrapText="1"/>
    </xf>
    <xf numFmtId="1" fontId="17" fillId="2" borderId="2" xfId="2" applyNumberFormat="1" applyFont="1" applyFill="1" applyBorder="1" applyAlignment="1">
      <alignment horizontal="center" vertical="center"/>
    </xf>
    <xf numFmtId="1" fontId="17" fillId="2" borderId="2" xfId="2" applyNumberFormat="1" applyFont="1" applyFill="1" applyBorder="1" applyAlignment="1">
      <alignment horizontal="center" vertical="center" wrapText="1"/>
    </xf>
    <xf numFmtId="0" fontId="10" fillId="2" borderId="9" xfId="6" applyFont="1" applyFill="1" applyBorder="1" applyAlignment="1">
      <alignment horizontal="center" vertical="center" wrapText="1"/>
    </xf>
    <xf numFmtId="166" fontId="10" fillId="2" borderId="9" xfId="7" applyNumberFormat="1" applyFont="1" applyFill="1" applyBorder="1" applyAlignment="1">
      <alignment vertical="center"/>
    </xf>
    <xf numFmtId="0" fontId="10" fillId="2" borderId="2" xfId="15" applyFont="1" applyFill="1" applyBorder="1" applyAlignment="1">
      <alignment horizontal="center" vertical="center" wrapText="1"/>
    </xf>
    <xf numFmtId="3" fontId="10" fillId="2" borderId="2" xfId="5" applyNumberFormat="1" applyFont="1" applyFill="1" applyBorder="1" applyAlignment="1">
      <alignment vertical="center" wrapText="1"/>
    </xf>
    <xf numFmtId="166" fontId="4" fillId="2" borderId="2" xfId="0" applyNumberFormat="1" applyFont="1" applyFill="1" applyBorder="1" applyAlignment="1">
      <alignment vertical="center" wrapText="1"/>
    </xf>
    <xf numFmtId="3" fontId="10" fillId="2" borderId="2" xfId="1" applyNumberFormat="1" applyFont="1" applyFill="1" applyBorder="1" applyAlignment="1">
      <alignment horizontal="right" vertical="center" wrapText="1"/>
    </xf>
    <xf numFmtId="0" fontId="10" fillId="2" borderId="2" xfId="19" applyFont="1" applyFill="1" applyBorder="1" applyAlignment="1">
      <alignment horizontal="center" vertical="center"/>
    </xf>
    <xf numFmtId="0" fontId="26" fillId="2" borderId="2" xfId="0" applyFont="1" applyFill="1" applyBorder="1" applyAlignment="1">
      <alignment horizontal="center" vertical="center" wrapText="1"/>
    </xf>
    <xf numFmtId="0" fontId="26" fillId="2" borderId="2" xfId="0" applyFont="1" applyFill="1" applyBorder="1"/>
    <xf numFmtId="166" fontId="26" fillId="2" borderId="2" xfId="0" applyNumberFormat="1" applyFont="1" applyFill="1" applyBorder="1" applyAlignment="1">
      <alignment vertical="center"/>
    </xf>
    <xf numFmtId="166" fontId="26" fillId="2" borderId="2" xfId="0" applyNumberFormat="1" applyFont="1" applyFill="1" applyBorder="1" applyAlignment="1">
      <alignment horizontal="right" vertical="center"/>
    </xf>
    <xf numFmtId="166" fontId="42" fillId="2" borderId="2" xfId="0" applyNumberFormat="1" applyFont="1" applyFill="1" applyBorder="1" applyAlignment="1">
      <alignment horizontal="center" vertical="center"/>
    </xf>
    <xf numFmtId="166" fontId="10" fillId="2" borderId="2" xfId="25" applyNumberFormat="1" applyFont="1" applyFill="1" applyBorder="1" applyAlignment="1">
      <alignment horizontal="left" vertical="center" wrapText="1"/>
    </xf>
    <xf numFmtId="0" fontId="10" fillId="2" borderId="2" xfId="23" applyFont="1" applyFill="1" applyBorder="1" applyAlignment="1">
      <alignment horizontal="center" vertical="center" wrapText="1"/>
    </xf>
    <xf numFmtId="3" fontId="10" fillId="2" borderId="2" xfId="24" applyNumberFormat="1" applyFont="1" applyFill="1" applyBorder="1" applyAlignment="1">
      <alignment horizontal="center" vertical="center" wrapText="1"/>
    </xf>
    <xf numFmtId="168" fontId="10" fillId="2" borderId="2" xfId="3" applyNumberFormat="1" applyFont="1" applyFill="1" applyBorder="1" applyAlignment="1">
      <alignment horizontal="right" vertical="center" wrapText="1"/>
    </xf>
    <xf numFmtId="168" fontId="10" fillId="2" borderId="2" xfId="3" applyNumberFormat="1" applyFont="1" applyFill="1" applyBorder="1" applyAlignment="1">
      <alignment vertical="center" wrapText="1"/>
    </xf>
    <xf numFmtId="168" fontId="10" fillId="2" borderId="2" xfId="26" applyNumberFormat="1" applyFont="1" applyFill="1" applyBorder="1" applyAlignment="1">
      <alignment horizontal="right" vertical="center" wrapText="1"/>
    </xf>
    <xf numFmtId="0" fontId="10" fillId="2" borderId="2" xfId="36" applyFont="1" applyFill="1" applyBorder="1" applyAlignment="1">
      <alignment horizontal="center" vertical="center" wrapText="1"/>
    </xf>
    <xf numFmtId="0" fontId="10" fillId="2" borderId="2" xfId="36" applyFont="1" applyFill="1" applyBorder="1" applyAlignment="1">
      <alignment vertical="center" wrapText="1"/>
    </xf>
    <xf numFmtId="3" fontId="10" fillId="2" borderId="2" xfId="36" applyNumberFormat="1" applyFont="1" applyFill="1" applyBorder="1" applyAlignment="1">
      <alignment horizontal="center" vertical="center" wrapText="1"/>
    </xf>
    <xf numFmtId="168" fontId="10" fillId="2" borderId="2" xfId="37" applyNumberFormat="1" applyFont="1" applyFill="1" applyBorder="1" applyAlignment="1">
      <alignment horizontal="center" vertical="center" wrapText="1"/>
    </xf>
    <xf numFmtId="168" fontId="10" fillId="2" borderId="2" xfId="37" applyNumberFormat="1" applyFont="1" applyFill="1" applyBorder="1" applyAlignment="1">
      <alignment horizontal="right" vertical="center" wrapText="1"/>
    </xf>
    <xf numFmtId="168" fontId="10" fillId="2" borderId="2" xfId="37" applyNumberFormat="1" applyFont="1" applyFill="1" applyBorder="1" applyAlignment="1">
      <alignment vertical="center" wrapText="1"/>
    </xf>
    <xf numFmtId="3" fontId="10" fillId="2" borderId="2" xfId="37" applyNumberFormat="1" applyFont="1" applyFill="1" applyBorder="1" applyAlignment="1">
      <alignment horizontal="right" vertical="center" wrapText="1"/>
    </xf>
    <xf numFmtId="3" fontId="10" fillId="2" borderId="2" xfId="37" applyNumberFormat="1" applyFont="1" applyFill="1" applyBorder="1" applyAlignment="1">
      <alignment vertical="center" wrapText="1"/>
    </xf>
    <xf numFmtId="0" fontId="10" fillId="2" borderId="2" xfId="0" applyFont="1" applyFill="1" applyBorder="1" applyAlignment="1">
      <alignment horizontal="center" wrapText="1"/>
    </xf>
    <xf numFmtId="179" fontId="10" fillId="2" borderId="2" xfId="0" applyNumberFormat="1" applyFont="1" applyFill="1" applyBorder="1" applyAlignment="1">
      <alignment vertical="center"/>
    </xf>
    <xf numFmtId="0" fontId="17" fillId="2" borderId="2" xfId="0" applyFont="1" applyFill="1" applyBorder="1" applyAlignment="1">
      <alignment vertical="center" wrapText="1"/>
    </xf>
    <xf numFmtId="0" fontId="17" fillId="2" borderId="2" xfId="0" applyFont="1" applyFill="1" applyBorder="1" applyAlignment="1">
      <alignment vertical="center"/>
    </xf>
    <xf numFmtId="170" fontId="17" fillId="2" borderId="2" xfId="1" applyNumberFormat="1" applyFont="1" applyFill="1" applyBorder="1" applyAlignment="1">
      <alignment vertical="center"/>
    </xf>
    <xf numFmtId="170" fontId="17" fillId="2" borderId="2" xfId="1" applyNumberFormat="1" applyFont="1" applyFill="1" applyBorder="1" applyAlignment="1">
      <alignment horizontal="right" vertical="center"/>
    </xf>
    <xf numFmtId="0" fontId="20" fillId="2" borderId="2" xfId="0" applyFont="1" applyFill="1" applyBorder="1" applyAlignment="1">
      <alignment horizontal="center" vertical="center"/>
    </xf>
    <xf numFmtId="0" fontId="17" fillId="2" borderId="0" xfId="0" applyFont="1" applyFill="1" applyAlignment="1">
      <alignment vertical="center"/>
    </xf>
    <xf numFmtId="0" fontId="17" fillId="2" borderId="2" xfId="0" applyFont="1" applyFill="1" applyBorder="1" applyAlignment="1">
      <alignment horizontal="center" vertical="center"/>
    </xf>
    <xf numFmtId="1" fontId="17" fillId="2" borderId="2" xfId="20" applyNumberFormat="1" applyFont="1" applyFill="1" applyBorder="1" applyAlignment="1">
      <alignment horizontal="left" vertical="center" wrapText="1"/>
    </xf>
    <xf numFmtId="3" fontId="17" fillId="2" borderId="2" xfId="21" applyNumberFormat="1" applyFont="1" applyFill="1" applyBorder="1" applyAlignment="1">
      <alignment horizontal="center" vertical="center" wrapText="1"/>
    </xf>
    <xf numFmtId="3" fontId="17" fillId="2" borderId="2" xfId="21" applyNumberFormat="1" applyFont="1" applyFill="1" applyBorder="1" applyAlignment="1">
      <alignment horizontal="right" vertical="center" wrapText="1"/>
    </xf>
    <xf numFmtId="0" fontId="17" fillId="2" borderId="2" xfId="23" applyFont="1" applyFill="1" applyBorder="1" applyAlignment="1">
      <alignment horizontal="center" vertical="center" wrapText="1"/>
    </xf>
    <xf numFmtId="3" fontId="17" fillId="2" borderId="2" xfId="24" applyNumberFormat="1" applyFont="1" applyFill="1" applyBorder="1" applyAlignment="1">
      <alignment horizontal="right" vertical="center" wrapText="1"/>
    </xf>
    <xf numFmtId="0" fontId="12" fillId="2" borderId="2" xfId="0" applyFont="1" applyFill="1" applyBorder="1" applyAlignment="1">
      <alignment horizontal="center" vertical="center"/>
    </xf>
    <xf numFmtId="0" fontId="26" fillId="2" borderId="2" xfId="23" applyFont="1" applyFill="1" applyBorder="1" applyAlignment="1">
      <alignment vertical="center" wrapText="1"/>
    </xf>
    <xf numFmtId="166" fontId="17" fillId="2" borderId="2" xfId="25" applyNumberFormat="1" applyFont="1" applyFill="1" applyBorder="1" applyAlignment="1">
      <alignment horizontal="left" vertical="center" wrapText="1"/>
    </xf>
    <xf numFmtId="3" fontId="17" fillId="2" borderId="2" xfId="0" applyNumberFormat="1" applyFont="1" applyFill="1" applyBorder="1" applyAlignment="1">
      <alignment vertical="center" wrapText="1"/>
    </xf>
    <xf numFmtId="168" fontId="27" fillId="2" borderId="2" xfId="26" applyNumberFormat="1" applyFont="1" applyFill="1" applyBorder="1" applyAlignment="1">
      <alignment horizontal="center" vertical="center" wrapText="1"/>
    </xf>
    <xf numFmtId="168" fontId="17" fillId="2" borderId="2" xfId="26" applyNumberFormat="1" applyFont="1" applyFill="1" applyBorder="1" applyAlignment="1">
      <alignment horizontal="right" vertical="center" wrapText="1"/>
    </xf>
    <xf numFmtId="168" fontId="17" fillId="2" borderId="2" xfId="26" applyNumberFormat="1" applyFont="1" applyFill="1" applyBorder="1" applyAlignment="1">
      <alignment horizontal="center" vertical="center" wrapText="1"/>
    </xf>
    <xf numFmtId="168" fontId="17" fillId="2" borderId="2" xfId="26" applyNumberFormat="1" applyFont="1" applyFill="1" applyBorder="1" applyAlignment="1">
      <alignment vertical="center" wrapText="1"/>
    </xf>
    <xf numFmtId="3" fontId="10" fillId="2" borderId="2" xfId="0" applyNumberFormat="1" applyFont="1" applyFill="1" applyBorder="1" applyAlignment="1">
      <alignment vertical="center" wrapText="1"/>
    </xf>
    <xf numFmtId="3" fontId="10" fillId="2" borderId="2" xfId="0" applyNumberFormat="1" applyFont="1" applyFill="1" applyBorder="1" applyAlignment="1">
      <alignment horizontal="center" vertical="center" wrapText="1"/>
    </xf>
    <xf numFmtId="168" fontId="26" fillId="2" borderId="2" xfId="26" applyNumberFormat="1" applyFont="1" applyFill="1" applyBorder="1" applyAlignment="1">
      <alignment horizontal="right" vertical="center" wrapText="1"/>
    </xf>
    <xf numFmtId="3" fontId="26" fillId="2" borderId="2" xfId="0" applyNumberFormat="1" applyFont="1" applyFill="1" applyBorder="1" applyAlignment="1">
      <alignment horizontal="center"/>
    </xf>
    <xf numFmtId="0" fontId="17" fillId="2" borderId="2" xfId="0" applyFont="1" applyFill="1" applyBorder="1" applyAlignment="1">
      <alignment wrapText="1"/>
    </xf>
    <xf numFmtId="166" fontId="29" fillId="2" borderId="2" xfId="26" applyNumberFormat="1" applyFont="1" applyFill="1" applyBorder="1" applyAlignment="1">
      <alignment vertical="center" wrapText="1"/>
    </xf>
    <xf numFmtId="166" fontId="29" fillId="2" borderId="2" xfId="26" applyNumberFormat="1" applyFont="1" applyFill="1" applyBorder="1" applyAlignment="1">
      <alignment horizontal="center" vertical="center"/>
    </xf>
    <xf numFmtId="166" fontId="30" fillId="2" borderId="2" xfId="26" applyNumberFormat="1" applyFont="1" applyFill="1" applyBorder="1" applyAlignment="1">
      <alignment horizontal="center" vertical="center" wrapText="1"/>
    </xf>
    <xf numFmtId="166" fontId="29" fillId="2" borderId="2" xfId="26" applyNumberFormat="1" applyFont="1" applyFill="1" applyBorder="1" applyAlignment="1">
      <alignment vertical="center"/>
    </xf>
    <xf numFmtId="166" fontId="29" fillId="2" borderId="2" xfId="26" applyNumberFormat="1" applyFont="1" applyFill="1" applyBorder="1" applyAlignment="1">
      <alignment horizontal="left" vertical="center" wrapText="1"/>
    </xf>
    <xf numFmtId="3" fontId="17" fillId="2" borderId="2" xfId="0" applyNumberFormat="1" applyFont="1" applyFill="1" applyBorder="1" applyAlignment="1">
      <alignment vertical="center"/>
    </xf>
    <xf numFmtId="3" fontId="31" fillId="2" borderId="2" xfId="26" applyNumberFormat="1" applyFont="1" applyFill="1" applyBorder="1" applyAlignment="1">
      <alignment horizontal="right" vertical="center" wrapText="1"/>
    </xf>
    <xf numFmtId="3" fontId="31" fillId="2" borderId="2" xfId="0" applyNumberFormat="1" applyFont="1" applyFill="1" applyBorder="1" applyAlignment="1">
      <alignment horizontal="right" vertical="center"/>
    </xf>
    <xf numFmtId="3" fontId="31" fillId="2" borderId="2" xfId="35" applyNumberFormat="1" applyFont="1" applyFill="1" applyBorder="1" applyAlignment="1">
      <alignment horizontal="right" vertical="center"/>
    </xf>
    <xf numFmtId="166" fontId="17" fillId="2" borderId="2" xfId="30" applyNumberFormat="1" applyFont="1" applyFill="1" applyBorder="1" applyAlignment="1">
      <alignment horizontal="left" vertical="center" wrapText="1"/>
    </xf>
    <xf numFmtId="178" fontId="10" fillId="2" borderId="2" xfId="26" applyNumberFormat="1" applyFont="1" applyFill="1" applyBorder="1" applyAlignment="1">
      <alignment horizontal="center" vertical="center" wrapText="1"/>
    </xf>
    <xf numFmtId="168" fontId="17" fillId="2" borderId="2" xfId="37" applyNumberFormat="1" applyFont="1" applyFill="1" applyBorder="1" applyAlignment="1">
      <alignment horizontal="center" vertical="center" wrapText="1"/>
    </xf>
    <xf numFmtId="168" fontId="17" fillId="2" borderId="2" xfId="37" applyNumberFormat="1" applyFont="1" applyFill="1" applyBorder="1" applyAlignment="1">
      <alignment horizontal="right" vertical="center" wrapText="1"/>
    </xf>
    <xf numFmtId="168" fontId="17" fillId="2" borderId="2" xfId="37" applyNumberFormat="1" applyFont="1" applyFill="1" applyBorder="1" applyAlignment="1">
      <alignment vertical="center" wrapText="1"/>
    </xf>
    <xf numFmtId="0" fontId="17" fillId="2" borderId="2" xfId="36" applyFont="1" applyFill="1" applyBorder="1" applyAlignment="1">
      <alignment horizontal="center" vertical="center" wrapText="1"/>
    </xf>
    <xf numFmtId="0" fontId="17" fillId="2" borderId="2" xfId="36" applyFont="1" applyFill="1" applyBorder="1" applyAlignment="1">
      <alignment vertical="center" wrapText="1"/>
    </xf>
    <xf numFmtId="3" fontId="17" fillId="2" borderId="2" xfId="37" applyNumberFormat="1" applyFont="1" applyFill="1" applyBorder="1" applyAlignment="1">
      <alignment horizontal="right" vertical="center" wrapText="1"/>
    </xf>
    <xf numFmtId="0" fontId="10" fillId="2" borderId="2" xfId="36" quotePrefix="1" applyFont="1" applyFill="1" applyBorder="1" applyAlignment="1">
      <alignment horizontal="center" vertical="center" wrapText="1"/>
    </xf>
    <xf numFmtId="166" fontId="10" fillId="2" borderId="2" xfId="27" applyNumberFormat="1" applyFont="1" applyFill="1" applyBorder="1" applyAlignment="1">
      <alignment horizontal="center" vertical="center" wrapText="1"/>
    </xf>
    <xf numFmtId="0" fontId="10" fillId="2" borderId="2" xfId="36" applyFont="1" applyFill="1" applyBorder="1" applyAlignment="1">
      <alignment horizontal="right" wrapText="1"/>
    </xf>
    <xf numFmtId="0" fontId="10" fillId="2" borderId="2" xfId="36" applyFont="1" applyFill="1" applyBorder="1" applyAlignment="1">
      <alignment wrapText="1"/>
    </xf>
    <xf numFmtId="3" fontId="10" fillId="2" borderId="2" xfId="36" applyNumberFormat="1" applyFont="1" applyFill="1" applyBorder="1" applyAlignment="1">
      <alignment horizontal="right" wrapText="1"/>
    </xf>
    <xf numFmtId="0" fontId="10" fillId="2" borderId="2" xfId="36" applyFont="1" applyFill="1" applyBorder="1" applyAlignment="1">
      <alignment horizontal="left" vertical="center" wrapText="1"/>
    </xf>
    <xf numFmtId="0" fontId="10" fillId="2" borderId="7" xfId="36" applyFont="1" applyFill="1" applyBorder="1" applyAlignment="1">
      <alignment horizontal="center" vertical="center" wrapText="1"/>
    </xf>
    <xf numFmtId="0" fontId="10" fillId="2" borderId="7" xfId="36" applyFont="1" applyFill="1" applyBorder="1" applyAlignment="1">
      <alignment horizontal="right"/>
    </xf>
    <xf numFmtId="0" fontId="10" fillId="2" borderId="7" xfId="36" applyFont="1" applyFill="1" applyBorder="1"/>
    <xf numFmtId="168" fontId="10" fillId="2" borderId="7" xfId="37" applyNumberFormat="1" applyFont="1" applyFill="1" applyBorder="1" applyAlignment="1">
      <alignment vertical="center" wrapText="1"/>
    </xf>
    <xf numFmtId="3" fontId="10" fillId="2" borderId="7" xfId="36" applyNumberFormat="1" applyFont="1" applyFill="1" applyBorder="1" applyAlignment="1">
      <alignment horizontal="right"/>
    </xf>
    <xf numFmtId="3" fontId="17" fillId="2" borderId="2" xfId="0" applyNumberFormat="1" applyFont="1" applyFill="1" applyBorder="1" applyAlignment="1">
      <alignment horizontal="right" vertical="center"/>
    </xf>
    <xf numFmtId="3" fontId="17" fillId="2" borderId="2" xfId="1" applyNumberFormat="1" applyFont="1" applyFill="1" applyBorder="1" applyAlignment="1">
      <alignment horizontal="right" vertical="center"/>
    </xf>
    <xf numFmtId="0" fontId="10" fillId="2" borderId="2" xfId="38" applyFont="1" applyFill="1" applyBorder="1" applyAlignment="1">
      <alignment horizontal="left" vertical="center" wrapText="1"/>
    </xf>
    <xf numFmtId="0" fontId="10" fillId="2" borderId="2" xfId="8" applyFont="1" applyFill="1" applyBorder="1" applyAlignment="1">
      <alignment vertical="center" wrapText="1"/>
    </xf>
    <xf numFmtId="3" fontId="10" fillId="2" borderId="2" xfId="8" applyNumberFormat="1" applyFont="1" applyFill="1" applyBorder="1" applyAlignment="1">
      <alignment vertical="center"/>
    </xf>
    <xf numFmtId="0" fontId="17" fillId="2" borderId="2" xfId="8" applyFont="1" applyFill="1" applyBorder="1" applyAlignment="1">
      <alignment horizontal="center" vertical="center" wrapText="1"/>
    </xf>
    <xf numFmtId="0" fontId="17" fillId="2" borderId="2" xfId="0" applyFont="1" applyFill="1" applyBorder="1" applyAlignment="1">
      <alignment horizontal="center" wrapText="1"/>
    </xf>
    <xf numFmtId="0" fontId="10" fillId="2" borderId="2" xfId="8" applyFont="1" applyFill="1" applyBorder="1" applyAlignment="1">
      <alignment horizontal="center" vertical="center"/>
    </xf>
    <xf numFmtId="3" fontId="5" fillId="2" borderId="2" xfId="2" applyNumberFormat="1" applyFont="1" applyFill="1" applyBorder="1" applyAlignment="1">
      <alignment horizontal="center" vertical="center" wrapText="1"/>
    </xf>
    <xf numFmtId="3" fontId="5" fillId="2" borderId="3" xfId="2" applyNumberFormat="1" applyFont="1" applyFill="1" applyBorder="1" applyAlignment="1">
      <alignment horizontal="center" vertical="center" wrapText="1"/>
    </xf>
    <xf numFmtId="3" fontId="5" fillId="2" borderId="7" xfId="2" applyNumberFormat="1" applyFont="1" applyFill="1" applyBorder="1" applyAlignment="1">
      <alignment horizontal="center" vertical="center" wrapText="1"/>
    </xf>
    <xf numFmtId="0" fontId="5" fillId="2" borderId="2" xfId="0" applyFont="1" applyFill="1" applyBorder="1"/>
    <xf numFmtId="3" fontId="5" fillId="2" borderId="4" xfId="2" applyNumberFormat="1" applyFont="1" applyFill="1" applyBorder="1" applyAlignment="1">
      <alignment horizontal="center" vertical="center" wrapText="1"/>
    </xf>
    <xf numFmtId="3" fontId="5" fillId="2" borderId="5" xfId="2" applyNumberFormat="1" applyFont="1" applyFill="1" applyBorder="1" applyAlignment="1">
      <alignment horizontal="center" vertical="center" wrapText="1"/>
    </xf>
    <xf numFmtId="0" fontId="43" fillId="2" borderId="0" xfId="0" applyFont="1" applyFill="1" applyAlignment="1">
      <alignment horizontal="center"/>
    </xf>
    <xf numFmtId="0" fontId="3" fillId="2" borderId="0" xfId="0" applyFont="1" applyFill="1" applyAlignment="1">
      <alignment horizontal="center" vertical="center"/>
    </xf>
    <xf numFmtId="0" fontId="6" fillId="2" borderId="0" xfId="0" applyFont="1" applyFill="1" applyAlignment="1">
      <alignment horizontal="center"/>
    </xf>
    <xf numFmtId="166" fontId="6"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xf>
  </cellXfs>
  <cellStyles count="70">
    <cellStyle name="Comma" xfId="1" builtinId="3"/>
    <cellStyle name="Comma [0] 2" xfId="42"/>
    <cellStyle name="Comma 10 10 10" xfId="14"/>
    <cellStyle name="Comma 10 3" xfId="25"/>
    <cellStyle name="Comma 16 3 2 2 2 3" xfId="5"/>
    <cellStyle name="Comma 2" xfId="4"/>
    <cellStyle name="Comma 2 10 2 3" xfId="11"/>
    <cellStyle name="Comma 2 2" xfId="22"/>
    <cellStyle name="Comma 2 3" xfId="27"/>
    <cellStyle name="Comma 2 30" xfId="30"/>
    <cellStyle name="Comma 3" xfId="26"/>
    <cellStyle name="Comma 4" xfId="37"/>
    <cellStyle name="Comma 5" xfId="41"/>
    <cellStyle name="Comma 59" xfId="3"/>
    <cellStyle name="Comma 59 2" xfId="28"/>
    <cellStyle name="Comma 6" xfId="51"/>
    <cellStyle name="Comma 60" xfId="7"/>
    <cellStyle name="Comma 77" xfId="35"/>
    <cellStyle name="Comma 79" xfId="12"/>
    <cellStyle name="Comma 80" xfId="31"/>
    <cellStyle name="Normal" xfId="0" builtinId="0"/>
    <cellStyle name="Normal 10 2 24" xfId="18"/>
    <cellStyle name="Normal 100" xfId="66"/>
    <cellStyle name="Normal 101" xfId="44"/>
    <cellStyle name="Normal 102" xfId="67"/>
    <cellStyle name="Normal 103" xfId="45"/>
    <cellStyle name="Normal 104" xfId="48"/>
    <cellStyle name="Normal 11 4 10" xfId="9"/>
    <cellStyle name="Normal 18" xfId="50"/>
    <cellStyle name="Normal 18 2 2" xfId="38"/>
    <cellStyle name="Normal 2 2" xfId="33"/>
    <cellStyle name="Normal 2 2 16" xfId="23"/>
    <cellStyle name="Normal 2 2 19" xfId="19"/>
    <cellStyle name="Normal 2 3" xfId="21"/>
    <cellStyle name="Normal 2 4" xfId="20"/>
    <cellStyle name="Normal 39 3" xfId="59"/>
    <cellStyle name="Normal 4" xfId="36"/>
    <cellStyle name="Normal 4 18" xfId="17"/>
    <cellStyle name="Normal 45" xfId="43"/>
    <cellStyle name="Normal 5" xfId="46"/>
    <cellStyle name="Normal 58" xfId="47"/>
    <cellStyle name="Normal 6" xfId="16"/>
    <cellStyle name="Normal 65" xfId="6"/>
    <cellStyle name="Normal 65 2" xfId="15"/>
    <cellStyle name="Normal 74" xfId="49"/>
    <cellStyle name="Normal 75" xfId="52"/>
    <cellStyle name="Normal 76" xfId="53"/>
    <cellStyle name="Normal 77" xfId="54"/>
    <cellStyle name="Normal 80" xfId="55"/>
    <cellStyle name="Normal 81" xfId="13"/>
    <cellStyle name="Normal 82" xfId="56"/>
    <cellStyle name="Normal 83" xfId="32"/>
    <cellStyle name="Normal 85" xfId="8"/>
    <cellStyle name="Normal 86" xfId="57"/>
    <cellStyle name="Normal 87" xfId="58"/>
    <cellStyle name="Normal 90" xfId="60"/>
    <cellStyle name="Normal 91" xfId="61"/>
    <cellStyle name="Normal 92" xfId="68"/>
    <cellStyle name="Normal 93" xfId="69"/>
    <cellStyle name="Normal 94" xfId="62"/>
    <cellStyle name="Normal 95" xfId="63"/>
    <cellStyle name="Normal 96" xfId="64"/>
    <cellStyle name="Normal 97" xfId="65"/>
    <cellStyle name="Normal_Bieu mau (CV )" xfId="2"/>
    <cellStyle name="Normal_Bieu mau (CV ) 2_Bieu_mau tiep To SKH_BAO CAO Tong hop XDCB 2016-ok" xfId="24"/>
    <cellStyle name="Normal_Sheet1 (2)" xfId="40"/>
    <cellStyle name="Normal_Sheet1_1" xfId="39"/>
    <cellStyle name="Normal_xin so 2017" xfId="34"/>
    <cellStyle name="Style 1 10" xfId="10"/>
    <cellStyle name="Style 1 2" xfId="29"/>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387"/>
  <sheetViews>
    <sheetView tabSelected="1" zoomScale="57" zoomScaleNormal="57" workbookViewId="0">
      <pane xSplit="2" ySplit="10" topLeftCell="C11" activePane="bottomRight" state="frozenSplit"/>
      <selection pane="topRight" activeCell="K1" sqref="K1"/>
      <selection pane="bottomLeft" activeCell="A17" sqref="A17"/>
      <selection pane="bottomRight" activeCell="K16" sqref="K16"/>
    </sheetView>
  </sheetViews>
  <sheetFormatPr defaultColWidth="8.85546875" defaultRowHeight="15"/>
  <cols>
    <col min="1" max="1" width="7.28515625" style="1" customWidth="1"/>
    <col min="2" max="2" width="40" style="1" customWidth="1"/>
    <col min="3" max="3" width="11.42578125" style="1" customWidth="1"/>
    <col min="4" max="4" width="12.7109375" style="1" customWidth="1"/>
    <col min="5" max="5" width="13.42578125" style="1" customWidth="1"/>
    <col min="6" max="6" width="21.85546875" style="1" customWidth="1"/>
    <col min="7" max="7" width="13" style="1" customWidth="1"/>
    <col min="8" max="8" width="13.140625" style="1" customWidth="1"/>
    <col min="9" max="9" width="14.5703125" style="1" customWidth="1"/>
    <col min="10" max="10" width="14.85546875" style="1" customWidth="1"/>
    <col min="11" max="11" width="14.5703125" style="1" customWidth="1"/>
    <col min="12" max="12" width="14.42578125" style="1" customWidth="1"/>
    <col min="13" max="13" width="19.28515625" style="298" customWidth="1"/>
    <col min="14" max="15" width="13.140625" style="226" customWidth="1"/>
    <col min="16" max="17" width="14.42578125" style="226" customWidth="1"/>
    <col min="18" max="18" width="11.140625" style="226" customWidth="1"/>
    <col min="19" max="19" width="13.7109375" style="298" customWidth="1"/>
    <col min="20" max="20" width="19.85546875" style="226" customWidth="1"/>
    <col min="21" max="16384" width="8.85546875" style="1"/>
  </cols>
  <sheetData>
    <row r="1" spans="1:20" ht="36" customHeight="1">
      <c r="A1" s="590" t="s">
        <v>2781</v>
      </c>
      <c r="B1" s="590"/>
      <c r="C1" s="590"/>
      <c r="D1" s="590"/>
      <c r="E1" s="590"/>
      <c r="F1" s="590"/>
      <c r="G1" s="590"/>
      <c r="H1" s="590"/>
      <c r="I1" s="590"/>
      <c r="J1" s="590"/>
      <c r="K1" s="590"/>
      <c r="L1" s="590"/>
      <c r="M1" s="590"/>
      <c r="N1" s="590"/>
      <c r="O1" s="590"/>
      <c r="P1" s="590"/>
      <c r="Q1" s="590"/>
      <c r="R1" s="590"/>
      <c r="S1" s="590"/>
      <c r="T1" s="590"/>
    </row>
    <row r="2" spans="1:20" s="224" customFormat="1" ht="31.5" customHeight="1">
      <c r="A2" s="591" t="s">
        <v>2778</v>
      </c>
      <c r="B2" s="591"/>
      <c r="C2" s="591"/>
      <c r="D2" s="591"/>
      <c r="E2" s="591"/>
      <c r="F2" s="591"/>
      <c r="G2" s="591"/>
      <c r="H2" s="591"/>
      <c r="I2" s="591"/>
      <c r="J2" s="591"/>
      <c r="K2" s="591"/>
      <c r="L2" s="591"/>
      <c r="M2" s="591"/>
      <c r="N2" s="591"/>
      <c r="O2" s="591"/>
      <c r="P2" s="591"/>
      <c r="Q2" s="591"/>
      <c r="R2" s="591"/>
      <c r="S2" s="591"/>
      <c r="T2" s="591"/>
    </row>
    <row r="3" spans="1:20">
      <c r="A3" s="592" t="s">
        <v>2784</v>
      </c>
      <c r="B3" s="592"/>
      <c r="C3" s="592"/>
      <c r="D3" s="592"/>
      <c r="E3" s="592"/>
      <c r="F3" s="592"/>
      <c r="G3" s="592"/>
      <c r="H3" s="592"/>
      <c r="I3" s="592"/>
      <c r="J3" s="592"/>
      <c r="K3" s="592"/>
      <c r="L3" s="592"/>
      <c r="M3" s="592"/>
      <c r="N3" s="592"/>
      <c r="O3" s="592"/>
      <c r="P3" s="592"/>
      <c r="Q3" s="592"/>
      <c r="R3" s="592"/>
      <c r="S3" s="592"/>
      <c r="T3" s="3"/>
    </row>
    <row r="4" spans="1:20">
      <c r="A4" s="3"/>
      <c r="B4" s="3"/>
      <c r="C4" s="3"/>
      <c r="D4" s="3"/>
      <c r="E4" s="3"/>
      <c r="F4" s="3"/>
      <c r="G4" s="3"/>
      <c r="H4" s="3"/>
      <c r="I4" s="3"/>
      <c r="J4" s="3"/>
      <c r="K4" s="3"/>
      <c r="L4" s="3"/>
      <c r="M4" s="4">
        <f>M11-44300561</f>
        <v>0</v>
      </c>
      <c r="N4" s="3"/>
      <c r="O4" s="3"/>
      <c r="P4" s="3"/>
      <c r="Q4" s="3"/>
      <c r="R4" s="3"/>
      <c r="S4" s="4"/>
      <c r="T4" s="5"/>
    </row>
    <row r="5" spans="1:20">
      <c r="F5" s="7"/>
      <c r="G5" s="7"/>
      <c r="H5" s="7"/>
      <c r="I5" s="7"/>
      <c r="J5" s="7"/>
      <c r="K5" s="7"/>
      <c r="L5" s="7"/>
      <c r="M5" s="8">
        <v>44300561</v>
      </c>
      <c r="N5" s="9"/>
      <c r="O5" s="9"/>
      <c r="P5" s="9"/>
      <c r="Q5" s="9"/>
      <c r="R5" s="10"/>
      <c r="S5" s="593" t="s">
        <v>0</v>
      </c>
      <c r="T5" s="593"/>
    </row>
    <row r="6" spans="1:20" ht="32.25" customHeight="1">
      <c r="A6" s="584" t="s">
        <v>1</v>
      </c>
      <c r="B6" s="584" t="s">
        <v>2</v>
      </c>
      <c r="C6" s="584" t="s">
        <v>2777</v>
      </c>
      <c r="D6" s="584" t="s">
        <v>3</v>
      </c>
      <c r="E6" s="584" t="s">
        <v>4</v>
      </c>
      <c r="F6" s="584" t="s">
        <v>5</v>
      </c>
      <c r="G6" s="584"/>
      <c r="H6" s="584"/>
      <c r="I6" s="584"/>
      <c r="J6" s="584"/>
      <c r="K6" s="584"/>
      <c r="L6" s="584" t="s">
        <v>6</v>
      </c>
      <c r="M6" s="584" t="s">
        <v>7</v>
      </c>
      <c r="N6" s="584" t="s">
        <v>8</v>
      </c>
      <c r="O6" s="584"/>
      <c r="P6" s="584"/>
      <c r="Q6" s="584"/>
      <c r="R6" s="584"/>
      <c r="S6" s="584"/>
      <c r="T6" s="594" t="s">
        <v>9</v>
      </c>
    </row>
    <row r="7" spans="1:20" ht="26.25" customHeight="1">
      <c r="A7" s="584"/>
      <c r="B7" s="584"/>
      <c r="C7" s="584"/>
      <c r="D7" s="584"/>
      <c r="E7" s="584"/>
      <c r="F7" s="584" t="s">
        <v>10</v>
      </c>
      <c r="G7" s="584" t="s">
        <v>11</v>
      </c>
      <c r="H7" s="584"/>
      <c r="I7" s="584"/>
      <c r="J7" s="584"/>
      <c r="K7" s="584"/>
      <c r="L7" s="584"/>
      <c r="M7" s="584"/>
      <c r="N7" s="584"/>
      <c r="O7" s="584"/>
      <c r="P7" s="584"/>
      <c r="Q7" s="584"/>
      <c r="R7" s="584"/>
      <c r="S7" s="584"/>
      <c r="T7" s="594"/>
    </row>
    <row r="8" spans="1:20" ht="27.75" customHeight="1">
      <c r="A8" s="584"/>
      <c r="B8" s="584"/>
      <c r="C8" s="584"/>
      <c r="D8" s="584"/>
      <c r="E8" s="584"/>
      <c r="F8" s="584"/>
      <c r="G8" s="584" t="s">
        <v>12</v>
      </c>
      <c r="H8" s="584" t="s">
        <v>13</v>
      </c>
      <c r="I8" s="584"/>
      <c r="J8" s="584" t="s">
        <v>14</v>
      </c>
      <c r="K8" s="584" t="s">
        <v>15</v>
      </c>
      <c r="L8" s="584"/>
      <c r="M8" s="584"/>
      <c r="N8" s="584" t="s">
        <v>13</v>
      </c>
      <c r="O8" s="584"/>
      <c r="P8" s="588" t="s">
        <v>16</v>
      </c>
      <c r="Q8" s="589"/>
      <c r="R8" s="584" t="s">
        <v>17</v>
      </c>
      <c r="S8" s="584" t="s">
        <v>15</v>
      </c>
      <c r="T8" s="594"/>
    </row>
    <row r="9" spans="1:20">
      <c r="A9" s="584"/>
      <c r="B9" s="584"/>
      <c r="C9" s="584"/>
      <c r="D9" s="584"/>
      <c r="E9" s="584"/>
      <c r="F9" s="584"/>
      <c r="G9" s="584"/>
      <c r="H9" s="584" t="s">
        <v>18</v>
      </c>
      <c r="I9" s="584" t="s">
        <v>19</v>
      </c>
      <c r="J9" s="584"/>
      <c r="K9" s="587"/>
      <c r="L9" s="584"/>
      <c r="M9" s="584"/>
      <c r="N9" s="584" t="s">
        <v>18</v>
      </c>
      <c r="O9" s="584" t="s">
        <v>19</v>
      </c>
      <c r="P9" s="585" t="s">
        <v>14</v>
      </c>
      <c r="Q9" s="585" t="s">
        <v>20</v>
      </c>
      <c r="R9" s="584"/>
      <c r="S9" s="584"/>
      <c r="T9" s="594"/>
    </row>
    <row r="10" spans="1:20">
      <c r="A10" s="584"/>
      <c r="B10" s="584"/>
      <c r="C10" s="584"/>
      <c r="D10" s="584"/>
      <c r="E10" s="584"/>
      <c r="F10" s="584"/>
      <c r="G10" s="584"/>
      <c r="H10" s="584"/>
      <c r="I10" s="584"/>
      <c r="J10" s="584"/>
      <c r="K10" s="587"/>
      <c r="L10" s="584"/>
      <c r="M10" s="584"/>
      <c r="N10" s="584"/>
      <c r="O10" s="584"/>
      <c r="P10" s="586"/>
      <c r="Q10" s="586"/>
      <c r="R10" s="584"/>
      <c r="S10" s="584"/>
      <c r="T10" s="594"/>
    </row>
    <row r="11" spans="1:20" ht="13.9" customHeight="1">
      <c r="A11" s="13"/>
      <c r="B11" s="465" t="s">
        <v>21</v>
      </c>
      <c r="C11" s="13"/>
      <c r="D11" s="13"/>
      <c r="E11" s="13"/>
      <c r="F11" s="466">
        <f t="shared" ref="F11:T11" si="0">F12+F16+F17+F18+F19</f>
        <v>0</v>
      </c>
      <c r="G11" s="466"/>
      <c r="H11" s="466"/>
      <c r="I11" s="466"/>
      <c r="J11" s="466"/>
      <c r="K11" s="466"/>
      <c r="L11" s="466"/>
      <c r="M11" s="132">
        <f t="shared" si="0"/>
        <v>44300561</v>
      </c>
      <c r="N11" s="182">
        <f t="shared" si="0"/>
        <v>12483100</v>
      </c>
      <c r="O11" s="182">
        <f t="shared" si="0"/>
        <v>2716051</v>
      </c>
      <c r="P11" s="182">
        <f t="shared" si="0"/>
        <v>2976410</v>
      </c>
      <c r="Q11" s="182">
        <f t="shared" si="0"/>
        <v>2000000</v>
      </c>
      <c r="R11" s="182">
        <f t="shared" si="0"/>
        <v>120000</v>
      </c>
      <c r="S11" s="132">
        <f t="shared" si="0"/>
        <v>24005000</v>
      </c>
      <c r="T11" s="183">
        <f t="shared" si="0"/>
        <v>0</v>
      </c>
    </row>
    <row r="12" spans="1:20">
      <c r="A12" s="29" t="s">
        <v>22</v>
      </c>
      <c r="B12" s="473" t="s">
        <v>23</v>
      </c>
      <c r="C12" s="13"/>
      <c r="D12" s="13"/>
      <c r="E12" s="13"/>
      <c r="F12" s="466"/>
      <c r="G12" s="466"/>
      <c r="H12" s="466"/>
      <c r="I12" s="466"/>
      <c r="J12" s="466"/>
      <c r="K12" s="466"/>
      <c r="L12" s="466"/>
      <c r="M12" s="132">
        <f t="shared" ref="M12:M18" si="1">SUM(N12:S12)</f>
        <v>1486563</v>
      </c>
      <c r="N12" s="182"/>
      <c r="O12" s="182">
        <f>39294-39294</f>
        <v>0</v>
      </c>
      <c r="P12" s="182"/>
      <c r="Q12" s="182">
        <f>2000000-557000</f>
        <v>1443000</v>
      </c>
      <c r="R12" s="182"/>
      <c r="S12" s="132">
        <f>4668683-40132+30887-80064-758615-2294690-1370738+38315-101803-300-5192-33721+1085000-4117-588943+862-(3155+1996)-4053-100746+958-164457-4719-93765-140-(202589-82000)-(8741-1604)-(5756-3686)</f>
        <v>43563</v>
      </c>
      <c r="T12" s="183"/>
    </row>
    <row r="13" spans="1:20" s="26" customFormat="1" ht="30">
      <c r="A13" s="15">
        <v>1</v>
      </c>
      <c r="B13" s="16" t="s">
        <v>24</v>
      </c>
      <c r="C13" s="17"/>
      <c r="D13" s="17"/>
      <c r="E13" s="17"/>
      <c r="F13" s="17"/>
      <c r="G13" s="18"/>
      <c r="H13" s="18"/>
      <c r="I13" s="18"/>
      <c r="J13" s="18"/>
      <c r="K13" s="18"/>
      <c r="L13" s="18"/>
      <c r="M13" s="19">
        <f t="shared" si="1"/>
        <v>7509</v>
      </c>
      <c r="N13" s="20"/>
      <c r="O13" s="21"/>
      <c r="P13" s="20"/>
      <c r="Q13" s="20"/>
      <c r="R13" s="20"/>
      <c r="S13" s="22">
        <f>150000-S22-S53-S130-S180-S227-S271-S297-S311-S328-S344-S412-S430-S481</f>
        <v>7509</v>
      </c>
      <c r="T13" s="23"/>
    </row>
    <row r="14" spans="1:20" s="26" customFormat="1" ht="22.5" customHeight="1">
      <c r="A14" s="15">
        <v>2</v>
      </c>
      <c r="B14" s="16" t="s">
        <v>25</v>
      </c>
      <c r="C14" s="17"/>
      <c r="D14" s="17"/>
      <c r="E14" s="17"/>
      <c r="F14" s="17"/>
      <c r="G14" s="18"/>
      <c r="H14" s="18"/>
      <c r="I14" s="18"/>
      <c r="J14" s="18"/>
      <c r="K14" s="18"/>
      <c r="L14" s="18"/>
      <c r="M14" s="19">
        <f t="shared" si="1"/>
        <v>1479054</v>
      </c>
      <c r="N14" s="20"/>
      <c r="O14" s="21"/>
      <c r="P14" s="20"/>
      <c r="Q14" s="22">
        <v>1443000</v>
      </c>
      <c r="R14" s="20"/>
      <c r="S14" s="22">
        <f>4668683-40132+30887-80064-758615-2294690-1370738+38315-101803-300-5192-33721+1085000-4117-588943+862-(3155+1996)-4053-100746+958-164457-4719-93765-140-(202589-82000)-(8741-1604)-(5756-3686)-7509</f>
        <v>36054</v>
      </c>
      <c r="T14" s="23"/>
    </row>
    <row r="15" spans="1:20" s="26" customFormat="1" ht="22.5" customHeight="1">
      <c r="A15" s="29" t="s">
        <v>26</v>
      </c>
      <c r="B15" s="473" t="s">
        <v>27</v>
      </c>
      <c r="C15" s="13"/>
      <c r="D15" s="13"/>
      <c r="E15" s="13"/>
      <c r="F15" s="466"/>
      <c r="G15" s="466"/>
      <c r="H15" s="466"/>
      <c r="I15" s="466"/>
      <c r="J15" s="466"/>
      <c r="K15" s="466"/>
      <c r="L15" s="466"/>
      <c r="M15" s="132">
        <f>SUM(M16:M18)</f>
        <v>632500</v>
      </c>
      <c r="N15" s="182">
        <f t="shared" ref="N15:S15" si="2">SUM(N16:N18)</f>
        <v>0</v>
      </c>
      <c r="O15" s="182">
        <f t="shared" si="2"/>
        <v>0</v>
      </c>
      <c r="P15" s="182">
        <f t="shared" si="2"/>
        <v>0</v>
      </c>
      <c r="Q15" s="182">
        <f t="shared" si="2"/>
        <v>0</v>
      </c>
      <c r="R15" s="182">
        <f t="shared" si="2"/>
        <v>0</v>
      </c>
      <c r="S15" s="132">
        <f t="shared" si="2"/>
        <v>632500</v>
      </c>
      <c r="T15" s="183"/>
    </row>
    <row r="16" spans="1:20" s="26" customFormat="1" ht="30">
      <c r="A16" s="15">
        <v>1</v>
      </c>
      <c r="B16" s="16" t="s">
        <v>28</v>
      </c>
      <c r="C16" s="17"/>
      <c r="D16" s="17"/>
      <c r="E16" s="17"/>
      <c r="F16" s="17"/>
      <c r="G16" s="18"/>
      <c r="H16" s="18"/>
      <c r="I16" s="18"/>
      <c r="J16" s="18"/>
      <c r="K16" s="18"/>
      <c r="L16" s="18"/>
      <c r="M16" s="19">
        <f t="shared" si="1"/>
        <v>230000</v>
      </c>
      <c r="N16" s="20"/>
      <c r="O16" s="20"/>
      <c r="P16" s="20"/>
      <c r="Q16" s="20"/>
      <c r="R16" s="20"/>
      <c r="S16" s="22">
        <f>1200000-970000</f>
        <v>230000</v>
      </c>
      <c r="T16" s="23"/>
    </row>
    <row r="17" spans="1:22" s="26" customFormat="1" ht="30">
      <c r="A17" s="15">
        <v>2</v>
      </c>
      <c r="B17" s="16" t="s">
        <v>29</v>
      </c>
      <c r="C17" s="17"/>
      <c r="D17" s="17"/>
      <c r="E17" s="17"/>
      <c r="F17" s="17"/>
      <c r="G17" s="18"/>
      <c r="H17" s="18"/>
      <c r="I17" s="18"/>
      <c r="J17" s="18"/>
      <c r="K17" s="18"/>
      <c r="L17" s="18"/>
      <c r="M17" s="19">
        <f t="shared" si="1"/>
        <v>67500</v>
      </c>
      <c r="N17" s="20"/>
      <c r="O17" s="20"/>
      <c r="P17" s="20"/>
      <c r="Q17" s="20"/>
      <c r="R17" s="20"/>
      <c r="S17" s="22">
        <v>67500</v>
      </c>
      <c r="T17" s="23"/>
    </row>
    <row r="18" spans="1:22" s="26" customFormat="1" ht="30">
      <c r="A18" s="15">
        <v>3</v>
      </c>
      <c r="B18" s="16" t="s">
        <v>30</v>
      </c>
      <c r="C18" s="17"/>
      <c r="D18" s="17"/>
      <c r="E18" s="17"/>
      <c r="F18" s="17"/>
      <c r="G18" s="18"/>
      <c r="H18" s="18"/>
      <c r="I18" s="18"/>
      <c r="J18" s="18"/>
      <c r="K18" s="18"/>
      <c r="L18" s="18"/>
      <c r="M18" s="19">
        <f t="shared" si="1"/>
        <v>335000</v>
      </c>
      <c r="N18" s="20"/>
      <c r="O18" s="20"/>
      <c r="P18" s="20"/>
      <c r="Q18" s="20"/>
      <c r="R18" s="20"/>
      <c r="S18" s="22">
        <f>135000+200000</f>
        <v>335000</v>
      </c>
      <c r="T18" s="23"/>
    </row>
    <row r="19" spans="1:22" ht="13.9" customHeight="1">
      <c r="A19" s="29" t="s">
        <v>31</v>
      </c>
      <c r="B19" s="473" t="s">
        <v>32</v>
      </c>
      <c r="C19" s="13"/>
      <c r="D19" s="13"/>
      <c r="E19" s="13"/>
      <c r="F19" s="28">
        <f>F20+F499</f>
        <v>0</v>
      </c>
      <c r="G19" s="132">
        <f t="shared" ref="G19:S19" si="3">G20+G499+G1378</f>
        <v>75728967.848778993</v>
      </c>
      <c r="H19" s="132">
        <f t="shared" si="3"/>
        <v>29000564.456</v>
      </c>
      <c r="I19" s="132">
        <f t="shared" si="3"/>
        <v>3939802</v>
      </c>
      <c r="J19" s="132">
        <f t="shared" si="3"/>
        <v>4555127</v>
      </c>
      <c r="K19" s="132">
        <f t="shared" si="3"/>
        <v>38233474.392778993</v>
      </c>
      <c r="L19" s="132">
        <f t="shared" si="3"/>
        <v>17903007.753009003</v>
      </c>
      <c r="M19" s="132">
        <f t="shared" si="3"/>
        <v>42181498</v>
      </c>
      <c r="N19" s="132">
        <f t="shared" si="3"/>
        <v>12483100</v>
      </c>
      <c r="O19" s="132">
        <f t="shared" si="3"/>
        <v>2716051</v>
      </c>
      <c r="P19" s="132">
        <f t="shared" si="3"/>
        <v>2976410</v>
      </c>
      <c r="Q19" s="132">
        <f t="shared" si="3"/>
        <v>557000</v>
      </c>
      <c r="R19" s="132">
        <f t="shared" si="3"/>
        <v>120000</v>
      </c>
      <c r="S19" s="132">
        <f t="shared" si="3"/>
        <v>23328937</v>
      </c>
      <c r="T19" s="183">
        <f t="shared" ref="T19" si="4">T20+T499</f>
        <v>0</v>
      </c>
      <c r="V19" s="6">
        <f>G19-H19-I19-J19-K19</f>
        <v>0</v>
      </c>
    </row>
    <row r="20" spans="1:22">
      <c r="A20" s="474" t="s">
        <v>33</v>
      </c>
      <c r="B20" s="475" t="s">
        <v>34</v>
      </c>
      <c r="C20" s="29"/>
      <c r="D20" s="29"/>
      <c r="E20" s="29"/>
      <c r="F20" s="28">
        <f t="shared" ref="F20:L20" si="5">F21+F52+F129+F179+F226+F429+F270+F296+F310+F343+F411+F420+F474+F327+F424+F470+F481</f>
        <v>0</v>
      </c>
      <c r="G20" s="58">
        <f t="shared" si="5"/>
        <v>66834378.939534999</v>
      </c>
      <c r="H20" s="58">
        <f t="shared" si="5"/>
        <v>29000564.456</v>
      </c>
      <c r="I20" s="58">
        <f t="shared" si="5"/>
        <v>3939802</v>
      </c>
      <c r="J20" s="58">
        <f t="shared" si="5"/>
        <v>4555127</v>
      </c>
      <c r="K20" s="58">
        <f t="shared" si="5"/>
        <v>29338885.483534995</v>
      </c>
      <c r="L20" s="58">
        <f t="shared" si="5"/>
        <v>17701107.193828002</v>
      </c>
      <c r="M20" s="48">
        <f>M21+M52+M129+M179+M226+M429+M270+M296+M310+M343+M411+M420+M424+M470+M481+M474+M327</f>
        <v>33379498</v>
      </c>
      <c r="N20" s="49">
        <f t="shared" ref="N20:T20" si="6">N21+N52+N129+N179+N226+N429+N270+N296+N310+N343+N411+N420+N474+N327+N424+N470+N481</f>
        <v>12483100</v>
      </c>
      <c r="O20" s="49">
        <f t="shared" si="6"/>
        <v>2716051</v>
      </c>
      <c r="P20" s="49">
        <f t="shared" si="6"/>
        <v>2976410</v>
      </c>
      <c r="Q20" s="49">
        <f t="shared" si="6"/>
        <v>557000</v>
      </c>
      <c r="R20" s="49">
        <f t="shared" si="6"/>
        <v>120000</v>
      </c>
      <c r="S20" s="48">
        <f t="shared" si="6"/>
        <v>14526937</v>
      </c>
      <c r="T20" s="50">
        <f t="shared" si="6"/>
        <v>0</v>
      </c>
      <c r="V20" s="6">
        <f t="shared" ref="V20:V83" si="7">G20-H20-I20-J20-K20</f>
        <v>0</v>
      </c>
    </row>
    <row r="21" spans="1:22" ht="28.5">
      <c r="A21" s="199" t="s">
        <v>35</v>
      </c>
      <c r="B21" s="467" t="s">
        <v>36</v>
      </c>
      <c r="C21" s="29"/>
      <c r="D21" s="29"/>
      <c r="E21" s="29"/>
      <c r="F21" s="28">
        <f t="shared" ref="F21:T21" si="8">F22+F33</f>
        <v>0</v>
      </c>
      <c r="G21" s="28">
        <f t="shared" si="8"/>
        <v>12203147</v>
      </c>
      <c r="H21" s="28">
        <f t="shared" si="8"/>
        <v>0</v>
      </c>
      <c r="I21" s="28">
        <f t="shared" si="8"/>
        <v>1800410</v>
      </c>
      <c r="J21" s="28">
        <f t="shared" si="8"/>
        <v>3988250</v>
      </c>
      <c r="K21" s="28">
        <f t="shared" si="8"/>
        <v>6414487</v>
      </c>
      <c r="L21" s="28">
        <f t="shared" si="8"/>
        <v>3897514.4530000002</v>
      </c>
      <c r="M21" s="28">
        <f t="shared" si="8"/>
        <v>7525467</v>
      </c>
      <c r="N21" s="36">
        <f t="shared" si="8"/>
        <v>0</v>
      </c>
      <c r="O21" s="36">
        <f t="shared" si="8"/>
        <v>1257877</v>
      </c>
      <c r="P21" s="36">
        <f t="shared" si="8"/>
        <v>2838229</v>
      </c>
      <c r="Q21" s="36">
        <f t="shared" si="8"/>
        <v>138805</v>
      </c>
      <c r="R21" s="36">
        <f t="shared" si="8"/>
        <v>0</v>
      </c>
      <c r="S21" s="28">
        <f t="shared" si="8"/>
        <v>3290556</v>
      </c>
      <c r="T21" s="70">
        <f t="shared" si="8"/>
        <v>0</v>
      </c>
      <c r="V21" s="6">
        <f t="shared" si="7"/>
        <v>0</v>
      </c>
    </row>
    <row r="22" spans="1:22">
      <c r="A22" s="199" t="s">
        <v>37</v>
      </c>
      <c r="B22" s="467" t="s">
        <v>38</v>
      </c>
      <c r="C22" s="29"/>
      <c r="D22" s="29"/>
      <c r="E22" s="29"/>
      <c r="F22" s="28">
        <f t="shared" ref="F22:T22" si="9">SUM(F23:F32)</f>
        <v>0</v>
      </c>
      <c r="G22" s="28">
        <f t="shared" si="9"/>
        <v>255303</v>
      </c>
      <c r="H22" s="28">
        <f t="shared" si="9"/>
        <v>0</v>
      </c>
      <c r="I22" s="28">
        <f t="shared" si="9"/>
        <v>0</v>
      </c>
      <c r="J22" s="28">
        <f t="shared" si="9"/>
        <v>0</v>
      </c>
      <c r="K22" s="28">
        <f t="shared" si="9"/>
        <v>255303</v>
      </c>
      <c r="L22" s="28">
        <f t="shared" si="9"/>
        <v>0</v>
      </c>
      <c r="M22" s="28">
        <f t="shared" si="9"/>
        <v>12526</v>
      </c>
      <c r="N22" s="36">
        <f t="shared" si="9"/>
        <v>0</v>
      </c>
      <c r="O22" s="36">
        <f t="shared" si="9"/>
        <v>0</v>
      </c>
      <c r="P22" s="36">
        <f t="shared" si="9"/>
        <v>0</v>
      </c>
      <c r="Q22" s="36">
        <f t="shared" si="9"/>
        <v>0</v>
      </c>
      <c r="R22" s="36">
        <f t="shared" si="9"/>
        <v>0</v>
      </c>
      <c r="S22" s="28">
        <f t="shared" si="9"/>
        <v>12526</v>
      </c>
      <c r="T22" s="70">
        <f t="shared" si="9"/>
        <v>0</v>
      </c>
      <c r="V22" s="6">
        <f t="shared" si="7"/>
        <v>0</v>
      </c>
    </row>
    <row r="23" spans="1:22" ht="30">
      <c r="A23" s="30">
        <v>1</v>
      </c>
      <c r="B23" s="16" t="s">
        <v>39</v>
      </c>
      <c r="C23" s="31" t="s">
        <v>40</v>
      </c>
      <c r="D23" s="29"/>
      <c r="E23" s="32" t="s">
        <v>41</v>
      </c>
      <c r="F23" s="33" t="s">
        <v>42</v>
      </c>
      <c r="G23" s="34">
        <f>SUM(H23:K23)</f>
        <v>1586</v>
      </c>
      <c r="H23" s="28"/>
      <c r="I23" s="28"/>
      <c r="J23" s="28"/>
      <c r="K23" s="34">
        <v>1586</v>
      </c>
      <c r="L23" s="28"/>
      <c r="M23" s="35">
        <f>SUM(N23:S23)</f>
        <v>1000</v>
      </c>
      <c r="N23" s="36"/>
      <c r="O23" s="36"/>
      <c r="P23" s="36"/>
      <c r="Q23" s="36"/>
      <c r="R23" s="36"/>
      <c r="S23" s="35">
        <v>1000</v>
      </c>
      <c r="T23" s="37"/>
      <c r="V23" s="6">
        <f t="shared" si="7"/>
        <v>0</v>
      </c>
    </row>
    <row r="24" spans="1:22" ht="60">
      <c r="A24" s="30">
        <v>2</v>
      </c>
      <c r="B24" s="16" t="s">
        <v>43</v>
      </c>
      <c r="C24" s="31" t="s">
        <v>40</v>
      </c>
      <c r="D24" s="29"/>
      <c r="E24" s="38" t="s">
        <v>41</v>
      </c>
      <c r="F24" s="15" t="s">
        <v>44</v>
      </c>
      <c r="G24" s="34">
        <f t="shared" ref="G24:G32" si="10">SUM(H24:K24)</f>
        <v>212</v>
      </c>
      <c r="H24" s="28"/>
      <c r="I24" s="28"/>
      <c r="J24" s="28"/>
      <c r="K24" s="33">
        <v>212</v>
      </c>
      <c r="L24" s="28"/>
      <c r="M24" s="35">
        <f t="shared" ref="M24:M32" si="11">SUM(N24:S24)</f>
        <v>190</v>
      </c>
      <c r="N24" s="36"/>
      <c r="O24" s="36"/>
      <c r="P24" s="36"/>
      <c r="Q24" s="36"/>
      <c r="R24" s="36"/>
      <c r="S24" s="35">
        <v>190</v>
      </c>
      <c r="T24" s="37"/>
      <c r="V24" s="6">
        <f t="shared" si="7"/>
        <v>0</v>
      </c>
    </row>
    <row r="25" spans="1:22" ht="60">
      <c r="A25" s="30">
        <v>3</v>
      </c>
      <c r="B25" s="39" t="s">
        <v>45</v>
      </c>
      <c r="C25" s="40" t="s">
        <v>46</v>
      </c>
      <c r="D25" s="29"/>
      <c r="E25" s="40" t="s">
        <v>47</v>
      </c>
      <c r="F25" s="41" t="s">
        <v>48</v>
      </c>
      <c r="G25" s="34">
        <f t="shared" si="10"/>
        <v>3759</v>
      </c>
      <c r="H25" s="28"/>
      <c r="I25" s="28"/>
      <c r="J25" s="28"/>
      <c r="K25" s="42">
        <v>3759</v>
      </c>
      <c r="L25" s="28"/>
      <c r="M25" s="35">
        <f t="shared" si="11"/>
        <v>3400</v>
      </c>
      <c r="N25" s="36"/>
      <c r="O25" s="36"/>
      <c r="P25" s="36"/>
      <c r="Q25" s="36"/>
      <c r="R25" s="36"/>
      <c r="S25" s="35">
        <v>3400</v>
      </c>
      <c r="T25" s="37"/>
      <c r="V25" s="6">
        <f t="shared" si="7"/>
        <v>0</v>
      </c>
    </row>
    <row r="26" spans="1:22" ht="30">
      <c r="A26" s="30">
        <v>4</v>
      </c>
      <c r="B26" s="16" t="s">
        <v>49</v>
      </c>
      <c r="C26" s="40"/>
      <c r="D26" s="29"/>
      <c r="E26" s="40"/>
      <c r="F26" s="15" t="s">
        <v>50</v>
      </c>
      <c r="G26" s="34">
        <f t="shared" si="10"/>
        <v>2180</v>
      </c>
      <c r="H26" s="28"/>
      <c r="I26" s="28"/>
      <c r="J26" s="28"/>
      <c r="K26" s="236">
        <v>2180</v>
      </c>
      <c r="L26" s="28"/>
      <c r="M26" s="35">
        <f t="shared" si="11"/>
        <v>500</v>
      </c>
      <c r="N26" s="36"/>
      <c r="O26" s="36"/>
      <c r="P26" s="36"/>
      <c r="Q26" s="36"/>
      <c r="R26" s="36"/>
      <c r="S26" s="35">
        <v>500</v>
      </c>
      <c r="T26" s="37"/>
      <c r="V26" s="6">
        <f t="shared" si="7"/>
        <v>0</v>
      </c>
    </row>
    <row r="27" spans="1:22" ht="60">
      <c r="A27" s="30">
        <v>5</v>
      </c>
      <c r="B27" s="39" t="s">
        <v>51</v>
      </c>
      <c r="C27" s="40" t="s">
        <v>52</v>
      </c>
      <c r="D27" s="29"/>
      <c r="E27" s="40" t="s">
        <v>47</v>
      </c>
      <c r="F27" s="41" t="s">
        <v>53</v>
      </c>
      <c r="G27" s="34">
        <f t="shared" si="10"/>
        <v>1292</v>
      </c>
      <c r="H27" s="28"/>
      <c r="I27" s="28"/>
      <c r="J27" s="28"/>
      <c r="K27" s="42">
        <v>1292</v>
      </c>
      <c r="L27" s="28"/>
      <c r="M27" s="35">
        <f t="shared" si="11"/>
        <v>1000</v>
      </c>
      <c r="N27" s="36"/>
      <c r="O27" s="36"/>
      <c r="P27" s="36"/>
      <c r="Q27" s="36"/>
      <c r="R27" s="36"/>
      <c r="S27" s="35">
        <v>1000</v>
      </c>
      <c r="T27" s="37"/>
      <c r="V27" s="6">
        <f t="shared" si="7"/>
        <v>0</v>
      </c>
    </row>
    <row r="28" spans="1:22" ht="75">
      <c r="A28" s="30">
        <v>6</v>
      </c>
      <c r="B28" s="39" t="s">
        <v>54</v>
      </c>
      <c r="C28" s="40" t="s">
        <v>52</v>
      </c>
      <c r="D28" s="29"/>
      <c r="E28" s="40" t="s">
        <v>55</v>
      </c>
      <c r="F28" s="41" t="s">
        <v>56</v>
      </c>
      <c r="G28" s="34">
        <f t="shared" si="10"/>
        <v>1200</v>
      </c>
      <c r="H28" s="28"/>
      <c r="I28" s="28"/>
      <c r="J28" s="28"/>
      <c r="K28" s="42">
        <v>1200</v>
      </c>
      <c r="L28" s="28"/>
      <c r="M28" s="35">
        <f t="shared" si="11"/>
        <v>1200</v>
      </c>
      <c r="N28" s="36"/>
      <c r="O28" s="36"/>
      <c r="P28" s="36"/>
      <c r="Q28" s="36"/>
      <c r="R28" s="36"/>
      <c r="S28" s="35">
        <v>1200</v>
      </c>
      <c r="T28" s="37"/>
      <c r="V28" s="6">
        <f t="shared" si="7"/>
        <v>0</v>
      </c>
    </row>
    <row r="29" spans="1:22" ht="30">
      <c r="A29" s="30">
        <v>7</v>
      </c>
      <c r="B29" s="39" t="s">
        <v>57</v>
      </c>
      <c r="C29" s="40" t="s">
        <v>58</v>
      </c>
      <c r="D29" s="29"/>
      <c r="E29" s="43" t="s">
        <v>59</v>
      </c>
      <c r="F29" s="44" t="s">
        <v>60</v>
      </c>
      <c r="G29" s="34">
        <f t="shared" si="10"/>
        <v>239336</v>
      </c>
      <c r="H29" s="28"/>
      <c r="I29" s="28"/>
      <c r="J29" s="28"/>
      <c r="K29" s="45">
        <v>239336</v>
      </c>
      <c r="L29" s="28"/>
      <c r="M29" s="35">
        <f t="shared" si="11"/>
        <v>1839</v>
      </c>
      <c r="N29" s="36"/>
      <c r="O29" s="36"/>
      <c r="P29" s="36"/>
      <c r="Q29" s="36"/>
      <c r="R29" s="36"/>
      <c r="S29" s="35">
        <v>1839</v>
      </c>
      <c r="T29" s="37"/>
      <c r="V29" s="6">
        <f t="shared" si="7"/>
        <v>0</v>
      </c>
    </row>
    <row r="30" spans="1:22" ht="60">
      <c r="A30" s="30">
        <v>8</v>
      </c>
      <c r="B30" s="16" t="s">
        <v>61</v>
      </c>
      <c r="C30" s="40"/>
      <c r="D30" s="29"/>
      <c r="E30" s="43"/>
      <c r="F30" s="15" t="s">
        <v>62</v>
      </c>
      <c r="G30" s="34">
        <f t="shared" si="10"/>
        <v>3041</v>
      </c>
      <c r="H30" s="28"/>
      <c r="I30" s="28"/>
      <c r="J30" s="28"/>
      <c r="K30" s="236">
        <v>3041</v>
      </c>
      <c r="L30" s="28"/>
      <c r="M30" s="35">
        <f t="shared" si="11"/>
        <v>700</v>
      </c>
      <c r="N30" s="36"/>
      <c r="O30" s="36"/>
      <c r="P30" s="36"/>
      <c r="Q30" s="36"/>
      <c r="R30" s="36"/>
      <c r="S30" s="35">
        <v>700</v>
      </c>
      <c r="T30" s="37"/>
      <c r="V30" s="6">
        <f t="shared" si="7"/>
        <v>0</v>
      </c>
    </row>
    <row r="31" spans="1:22" ht="75">
      <c r="A31" s="30">
        <v>9</v>
      </c>
      <c r="B31" s="39" t="s">
        <v>63</v>
      </c>
      <c r="C31" s="40" t="s">
        <v>64</v>
      </c>
      <c r="D31" s="29"/>
      <c r="E31" s="40" t="s">
        <v>55</v>
      </c>
      <c r="F31" s="41" t="s">
        <v>65</v>
      </c>
      <c r="G31" s="34">
        <f t="shared" si="10"/>
        <v>1032</v>
      </c>
      <c r="H31" s="28"/>
      <c r="I31" s="28"/>
      <c r="J31" s="28"/>
      <c r="K31" s="42">
        <v>1032</v>
      </c>
      <c r="L31" s="28"/>
      <c r="M31" s="35">
        <f t="shared" si="11"/>
        <v>1032</v>
      </c>
      <c r="N31" s="36"/>
      <c r="O31" s="36"/>
      <c r="P31" s="36"/>
      <c r="Q31" s="36"/>
      <c r="R31" s="36"/>
      <c r="S31" s="35">
        <v>1032</v>
      </c>
      <c r="T31" s="37"/>
      <c r="V31" s="6">
        <f t="shared" si="7"/>
        <v>0</v>
      </c>
    </row>
    <row r="32" spans="1:22" ht="75">
      <c r="A32" s="30">
        <v>10</v>
      </c>
      <c r="B32" s="39" t="s">
        <v>66</v>
      </c>
      <c r="C32" s="40" t="s">
        <v>67</v>
      </c>
      <c r="D32" s="29"/>
      <c r="E32" s="40" t="s">
        <v>55</v>
      </c>
      <c r="F32" s="41" t="s">
        <v>68</v>
      </c>
      <c r="G32" s="34">
        <f t="shared" si="10"/>
        <v>1665</v>
      </c>
      <c r="H32" s="28"/>
      <c r="I32" s="28"/>
      <c r="J32" s="28"/>
      <c r="K32" s="42">
        <v>1665</v>
      </c>
      <c r="L32" s="28"/>
      <c r="M32" s="35">
        <f t="shared" si="11"/>
        <v>1665</v>
      </c>
      <c r="N32" s="36"/>
      <c r="O32" s="36"/>
      <c r="P32" s="36"/>
      <c r="Q32" s="36"/>
      <c r="R32" s="36"/>
      <c r="S32" s="35">
        <v>1665</v>
      </c>
      <c r="T32" s="37"/>
      <c r="V32" s="6">
        <f t="shared" si="7"/>
        <v>0</v>
      </c>
    </row>
    <row r="33" spans="1:22">
      <c r="A33" s="199" t="s">
        <v>69</v>
      </c>
      <c r="B33" s="476" t="s">
        <v>70</v>
      </c>
      <c r="C33" s="40"/>
      <c r="D33" s="29"/>
      <c r="E33" s="29"/>
      <c r="F33" s="28">
        <f t="shared" ref="F33:T33" si="12">F34+F38+F46</f>
        <v>0</v>
      </c>
      <c r="G33" s="28">
        <f t="shared" si="12"/>
        <v>11947844</v>
      </c>
      <c r="H33" s="28">
        <f t="shared" si="12"/>
        <v>0</v>
      </c>
      <c r="I33" s="28">
        <f t="shared" si="12"/>
        <v>1800410</v>
      </c>
      <c r="J33" s="28">
        <f t="shared" si="12"/>
        <v>3988250</v>
      </c>
      <c r="K33" s="28">
        <f t="shared" si="12"/>
        <v>6159184</v>
      </c>
      <c r="L33" s="28">
        <f t="shared" si="12"/>
        <v>3897514.4530000002</v>
      </c>
      <c r="M33" s="28">
        <f t="shared" si="12"/>
        <v>7512941</v>
      </c>
      <c r="N33" s="36">
        <f t="shared" si="12"/>
        <v>0</v>
      </c>
      <c r="O33" s="36">
        <f t="shared" si="12"/>
        <v>1257877</v>
      </c>
      <c r="P33" s="36">
        <f t="shared" si="12"/>
        <v>2838229</v>
      </c>
      <c r="Q33" s="36">
        <f t="shared" si="12"/>
        <v>138805</v>
      </c>
      <c r="R33" s="36">
        <f t="shared" si="12"/>
        <v>0</v>
      </c>
      <c r="S33" s="28">
        <f t="shared" si="12"/>
        <v>3278030</v>
      </c>
      <c r="T33" s="70">
        <f t="shared" si="12"/>
        <v>0</v>
      </c>
      <c r="V33" s="6">
        <f t="shared" si="7"/>
        <v>0</v>
      </c>
    </row>
    <row r="34" spans="1:22" ht="27" customHeight="1">
      <c r="A34" s="46" t="s">
        <v>71</v>
      </c>
      <c r="B34" s="47" t="s">
        <v>72</v>
      </c>
      <c r="C34" s="29"/>
      <c r="D34" s="29"/>
      <c r="E34" s="29"/>
      <c r="F34" s="48">
        <f t="shared" ref="F34:T34" si="13">SUM(F35:F37)</f>
        <v>0</v>
      </c>
      <c r="G34" s="48">
        <f t="shared" si="13"/>
        <v>337608</v>
      </c>
      <c r="H34" s="48">
        <f t="shared" si="13"/>
        <v>0</v>
      </c>
      <c r="I34" s="48">
        <f t="shared" si="13"/>
        <v>0</v>
      </c>
      <c r="J34" s="48">
        <f t="shared" si="13"/>
        <v>0</v>
      </c>
      <c r="K34" s="48">
        <f t="shared" si="13"/>
        <v>337608</v>
      </c>
      <c r="L34" s="48">
        <f t="shared" si="13"/>
        <v>260379.45300000001</v>
      </c>
      <c r="M34" s="48">
        <f t="shared" si="13"/>
        <v>4381</v>
      </c>
      <c r="N34" s="49">
        <f t="shared" si="13"/>
        <v>0</v>
      </c>
      <c r="O34" s="49">
        <f t="shared" si="13"/>
        <v>0</v>
      </c>
      <c r="P34" s="49">
        <f t="shared" si="13"/>
        <v>0</v>
      </c>
      <c r="Q34" s="49">
        <f t="shared" si="13"/>
        <v>0</v>
      </c>
      <c r="R34" s="49">
        <f t="shared" si="13"/>
        <v>0</v>
      </c>
      <c r="S34" s="48">
        <f t="shared" si="13"/>
        <v>4381</v>
      </c>
      <c r="T34" s="50">
        <f t="shared" si="13"/>
        <v>0</v>
      </c>
      <c r="V34" s="6">
        <f t="shared" si="7"/>
        <v>0</v>
      </c>
    </row>
    <row r="35" spans="1:22" ht="60">
      <c r="A35" s="12">
        <v>1</v>
      </c>
      <c r="B35" s="51" t="s">
        <v>73</v>
      </c>
      <c r="C35" s="53" t="s">
        <v>58</v>
      </c>
      <c r="D35" s="12" t="s">
        <v>26</v>
      </c>
      <c r="E35" s="53" t="s">
        <v>74</v>
      </c>
      <c r="F35" s="53" t="s">
        <v>75</v>
      </c>
      <c r="G35" s="54">
        <f>SUM(H35:K35)</f>
        <v>291221</v>
      </c>
      <c r="H35" s="55"/>
      <c r="I35" s="55"/>
      <c r="J35" s="56"/>
      <c r="K35" s="56">
        <v>291221</v>
      </c>
      <c r="L35" s="56">
        <v>260379.45300000001</v>
      </c>
      <c r="M35" s="57">
        <f>SUM(N35:S35)</f>
        <v>4294</v>
      </c>
      <c r="N35" s="55">
        <v>0</v>
      </c>
      <c r="O35" s="55">
        <v>0</v>
      </c>
      <c r="P35" s="55">
        <v>0</v>
      </c>
      <c r="Q35" s="55"/>
      <c r="R35" s="55"/>
      <c r="S35" s="57">
        <v>4294</v>
      </c>
      <c r="T35" s="37"/>
      <c r="V35" s="6">
        <f t="shared" si="7"/>
        <v>0</v>
      </c>
    </row>
    <row r="36" spans="1:22" ht="60">
      <c r="A36" s="12">
        <v>2</v>
      </c>
      <c r="B36" s="16" t="s">
        <v>76</v>
      </c>
      <c r="C36" s="53" t="s">
        <v>40</v>
      </c>
      <c r="D36" s="12" t="s">
        <v>31</v>
      </c>
      <c r="E36" s="53" t="s">
        <v>77</v>
      </c>
      <c r="F36" s="161" t="s">
        <v>78</v>
      </c>
      <c r="G36" s="54">
        <f t="shared" ref="G36:G37" si="14">SUM(H36:K36)</f>
        <v>6253</v>
      </c>
      <c r="H36" s="55"/>
      <c r="I36" s="55"/>
      <c r="J36" s="56"/>
      <c r="K36" s="56">
        <v>6253</v>
      </c>
      <c r="L36" s="56"/>
      <c r="M36" s="57">
        <f t="shared" ref="M36:M37" si="15">SUM(N36:S36)</f>
        <v>32</v>
      </c>
      <c r="N36" s="55"/>
      <c r="O36" s="55"/>
      <c r="P36" s="55"/>
      <c r="Q36" s="55"/>
      <c r="R36" s="55"/>
      <c r="S36" s="57">
        <v>32</v>
      </c>
      <c r="T36" s="37"/>
      <c r="V36" s="6">
        <f t="shared" si="7"/>
        <v>0</v>
      </c>
    </row>
    <row r="37" spans="1:22" ht="45">
      <c r="A37" s="12">
        <v>3</v>
      </c>
      <c r="B37" s="16" t="s">
        <v>79</v>
      </c>
      <c r="C37" s="53" t="s">
        <v>40</v>
      </c>
      <c r="D37" s="12" t="s">
        <v>31</v>
      </c>
      <c r="E37" s="53" t="s">
        <v>80</v>
      </c>
      <c r="F37" s="161" t="s">
        <v>81</v>
      </c>
      <c r="G37" s="54">
        <f t="shared" si="14"/>
        <v>40134</v>
      </c>
      <c r="H37" s="55"/>
      <c r="I37" s="55"/>
      <c r="J37" s="56"/>
      <c r="K37" s="56">
        <v>40134</v>
      </c>
      <c r="L37" s="56"/>
      <c r="M37" s="57">
        <f t="shared" si="15"/>
        <v>55</v>
      </c>
      <c r="N37" s="55"/>
      <c r="O37" s="55"/>
      <c r="P37" s="55"/>
      <c r="Q37" s="55"/>
      <c r="R37" s="55"/>
      <c r="S37" s="57">
        <v>55</v>
      </c>
      <c r="T37" s="37"/>
      <c r="V37" s="6">
        <f t="shared" si="7"/>
        <v>0</v>
      </c>
    </row>
    <row r="38" spans="1:22">
      <c r="A38" s="46" t="s">
        <v>82</v>
      </c>
      <c r="B38" s="47" t="s">
        <v>83</v>
      </c>
      <c r="C38" s="29"/>
      <c r="D38" s="29"/>
      <c r="E38" s="29"/>
      <c r="F38" s="29"/>
      <c r="G38" s="58">
        <f t="shared" ref="G38:S38" si="16">SUM(G39:G45)</f>
        <v>10232747</v>
      </c>
      <c r="H38" s="58">
        <f t="shared" si="16"/>
        <v>0</v>
      </c>
      <c r="I38" s="58">
        <f t="shared" si="16"/>
        <v>1800410</v>
      </c>
      <c r="J38" s="58">
        <f t="shared" si="16"/>
        <v>3988250</v>
      </c>
      <c r="K38" s="58">
        <f t="shared" si="16"/>
        <v>4444087</v>
      </c>
      <c r="L38" s="58">
        <f t="shared" si="16"/>
        <v>3635489</v>
      </c>
      <c r="M38" s="48">
        <f t="shared" si="16"/>
        <v>6102958</v>
      </c>
      <c r="N38" s="49">
        <f t="shared" si="16"/>
        <v>0</v>
      </c>
      <c r="O38" s="49">
        <f t="shared" si="16"/>
        <v>1257877</v>
      </c>
      <c r="P38" s="49">
        <f t="shared" si="16"/>
        <v>2838229</v>
      </c>
      <c r="Q38" s="49">
        <f t="shared" si="16"/>
        <v>0</v>
      </c>
      <c r="R38" s="49">
        <f t="shared" si="16"/>
        <v>0</v>
      </c>
      <c r="S38" s="48">
        <f t="shared" si="16"/>
        <v>2006852</v>
      </c>
      <c r="T38" s="37"/>
      <c r="V38" s="6">
        <f t="shared" si="7"/>
        <v>0</v>
      </c>
    </row>
    <row r="39" spans="1:22" ht="75">
      <c r="A39" s="53">
        <v>1</v>
      </c>
      <c r="B39" s="59" t="s">
        <v>84</v>
      </c>
      <c r="C39" s="53" t="s">
        <v>85</v>
      </c>
      <c r="D39" s="53" t="s">
        <v>22</v>
      </c>
      <c r="E39" s="53" t="s">
        <v>86</v>
      </c>
      <c r="F39" s="53" t="s">
        <v>87</v>
      </c>
      <c r="G39" s="54">
        <f t="shared" ref="G39:G45" si="17">SUM(H39:K39)</f>
        <v>9167256</v>
      </c>
      <c r="H39" s="60"/>
      <c r="I39" s="54">
        <v>1800410</v>
      </c>
      <c r="J39" s="60">
        <v>3988250</v>
      </c>
      <c r="K39" s="54">
        <v>3378596</v>
      </c>
      <c r="L39" s="60">
        <v>3191039</v>
      </c>
      <c r="M39" s="57">
        <f t="shared" ref="M39:M45" si="18">SUM(N39:S39)</f>
        <v>5615402</v>
      </c>
      <c r="N39" s="61"/>
      <c r="O39" s="62">
        <v>1257877</v>
      </c>
      <c r="P39" s="62">
        <f>604656-39957+448881+1260949+563700</f>
        <v>2838229</v>
      </c>
      <c r="Q39" s="62"/>
      <c r="R39" s="61"/>
      <c r="S39" s="63">
        <f>58495+1460801</f>
        <v>1519296</v>
      </c>
      <c r="T39" s="37"/>
      <c r="V39" s="6">
        <f t="shared" si="7"/>
        <v>0</v>
      </c>
    </row>
    <row r="40" spans="1:22" ht="30">
      <c r="A40" s="53">
        <v>2</v>
      </c>
      <c r="B40" s="59" t="s">
        <v>88</v>
      </c>
      <c r="C40" s="53" t="s">
        <v>40</v>
      </c>
      <c r="D40" s="53" t="s">
        <v>26</v>
      </c>
      <c r="E40" s="53" t="s">
        <v>89</v>
      </c>
      <c r="F40" s="53" t="s">
        <v>90</v>
      </c>
      <c r="G40" s="54">
        <f t="shared" si="17"/>
        <v>460894</v>
      </c>
      <c r="H40" s="54"/>
      <c r="I40" s="54"/>
      <c r="J40" s="54"/>
      <c r="K40" s="54">
        <v>460894</v>
      </c>
      <c r="L40" s="60">
        <v>170700</v>
      </c>
      <c r="M40" s="57">
        <f t="shared" si="18"/>
        <v>213194</v>
      </c>
      <c r="N40" s="66"/>
      <c r="O40" s="66"/>
      <c r="P40" s="66"/>
      <c r="Q40" s="66"/>
      <c r="R40" s="66"/>
      <c r="S40" s="67">
        <f>290194-77000</f>
        <v>213194</v>
      </c>
      <c r="T40" s="37"/>
      <c r="V40" s="6">
        <f t="shared" si="7"/>
        <v>0</v>
      </c>
    </row>
    <row r="41" spans="1:22" ht="30">
      <c r="A41" s="53">
        <v>3</v>
      </c>
      <c r="B41" s="59" t="s">
        <v>91</v>
      </c>
      <c r="C41" s="53" t="s">
        <v>92</v>
      </c>
      <c r="D41" s="53" t="s">
        <v>26</v>
      </c>
      <c r="E41" s="53" t="s">
        <v>59</v>
      </c>
      <c r="F41" s="53" t="s">
        <v>93</v>
      </c>
      <c r="G41" s="54">
        <f t="shared" si="17"/>
        <v>104597</v>
      </c>
      <c r="H41" s="54"/>
      <c r="I41" s="54"/>
      <c r="J41" s="54"/>
      <c r="K41" s="54">
        <v>104597</v>
      </c>
      <c r="L41" s="60">
        <v>50500</v>
      </c>
      <c r="M41" s="57">
        <f t="shared" si="18"/>
        <v>50000</v>
      </c>
      <c r="N41" s="66"/>
      <c r="O41" s="66"/>
      <c r="P41" s="66"/>
      <c r="Q41" s="66"/>
      <c r="R41" s="66"/>
      <c r="S41" s="67">
        <v>50000</v>
      </c>
      <c r="T41" s="37"/>
      <c r="V41" s="6">
        <f t="shared" si="7"/>
        <v>0</v>
      </c>
    </row>
    <row r="42" spans="1:22" ht="30">
      <c r="A42" s="53">
        <v>4</v>
      </c>
      <c r="B42" s="59" t="s">
        <v>57</v>
      </c>
      <c r="C42" s="53" t="s">
        <v>58</v>
      </c>
      <c r="D42" s="53" t="s">
        <v>26</v>
      </c>
      <c r="E42" s="53" t="s">
        <v>59</v>
      </c>
      <c r="F42" s="53" t="s">
        <v>60</v>
      </c>
      <c r="G42" s="54">
        <f t="shared" si="17"/>
        <v>239336</v>
      </c>
      <c r="H42" s="60"/>
      <c r="I42" s="60"/>
      <c r="J42" s="60"/>
      <c r="K42" s="60">
        <v>239336</v>
      </c>
      <c r="L42" s="60">
        <v>100900</v>
      </c>
      <c r="M42" s="57">
        <f t="shared" si="18"/>
        <v>103000</v>
      </c>
      <c r="N42" s="66"/>
      <c r="O42" s="66"/>
      <c r="P42" s="66"/>
      <c r="Q42" s="66"/>
      <c r="R42" s="66"/>
      <c r="S42" s="67">
        <f>138000-35000</f>
        <v>103000</v>
      </c>
      <c r="T42" s="37"/>
      <c r="V42" s="6">
        <f t="shared" si="7"/>
        <v>0</v>
      </c>
    </row>
    <row r="43" spans="1:22" ht="30">
      <c r="A43" s="53">
        <v>5</v>
      </c>
      <c r="B43" s="59" t="s">
        <v>94</v>
      </c>
      <c r="C43" s="53" t="s">
        <v>64</v>
      </c>
      <c r="D43" s="53" t="s">
        <v>31</v>
      </c>
      <c r="E43" s="53" t="s">
        <v>59</v>
      </c>
      <c r="F43" s="53" t="s">
        <v>95</v>
      </c>
      <c r="G43" s="54">
        <f t="shared" si="17"/>
        <v>49322</v>
      </c>
      <c r="H43" s="60"/>
      <c r="I43" s="60"/>
      <c r="J43" s="60"/>
      <c r="K43" s="60">
        <v>49322</v>
      </c>
      <c r="L43" s="60">
        <v>36400</v>
      </c>
      <c r="M43" s="57">
        <f t="shared" si="18"/>
        <v>4500</v>
      </c>
      <c r="N43" s="66"/>
      <c r="O43" s="66"/>
      <c r="P43" s="66"/>
      <c r="Q43" s="66"/>
      <c r="R43" s="66"/>
      <c r="S43" s="67">
        <v>4500</v>
      </c>
      <c r="T43" s="37"/>
      <c r="V43" s="6">
        <f t="shared" si="7"/>
        <v>0</v>
      </c>
    </row>
    <row r="44" spans="1:22" ht="27.75" customHeight="1">
      <c r="A44" s="53">
        <v>6</v>
      </c>
      <c r="B44" s="59" t="s">
        <v>96</v>
      </c>
      <c r="C44" s="53" t="s">
        <v>97</v>
      </c>
      <c r="D44" s="53" t="s">
        <v>31</v>
      </c>
      <c r="E44" s="53" t="s">
        <v>59</v>
      </c>
      <c r="F44" s="53" t="s">
        <v>98</v>
      </c>
      <c r="G44" s="54">
        <f>SUM(H44:K44)</f>
        <v>39680</v>
      </c>
      <c r="H44" s="60"/>
      <c r="I44" s="60"/>
      <c r="J44" s="60"/>
      <c r="K44" s="60">
        <v>39680</v>
      </c>
      <c r="L44" s="60">
        <v>25150</v>
      </c>
      <c r="M44" s="57">
        <f>SUM(N44:S44)</f>
        <v>6000</v>
      </c>
      <c r="N44" s="61"/>
      <c r="O44" s="61"/>
      <c r="P44" s="61"/>
      <c r="Q44" s="61"/>
      <c r="R44" s="61"/>
      <c r="S44" s="68">
        <f>14000-8000</f>
        <v>6000</v>
      </c>
      <c r="T44" s="69"/>
      <c r="V44" s="6">
        <f t="shared" si="7"/>
        <v>0</v>
      </c>
    </row>
    <row r="45" spans="1:22" ht="60">
      <c r="A45" s="53">
        <v>7</v>
      </c>
      <c r="B45" s="59" t="s">
        <v>99</v>
      </c>
      <c r="C45" s="53" t="s">
        <v>52</v>
      </c>
      <c r="D45" s="53" t="s">
        <v>31</v>
      </c>
      <c r="E45" s="53" t="s">
        <v>59</v>
      </c>
      <c r="F45" s="53" t="s">
        <v>100</v>
      </c>
      <c r="G45" s="54">
        <f t="shared" si="17"/>
        <v>171662</v>
      </c>
      <c r="H45" s="54"/>
      <c r="I45" s="54"/>
      <c r="J45" s="54"/>
      <c r="K45" s="54">
        <v>171662</v>
      </c>
      <c r="L45" s="60">
        <v>60800</v>
      </c>
      <c r="M45" s="57">
        <f t="shared" si="18"/>
        <v>110862</v>
      </c>
      <c r="N45" s="66"/>
      <c r="O45" s="66"/>
      <c r="P45" s="66"/>
      <c r="Q45" s="66"/>
      <c r="R45" s="66"/>
      <c r="S45" s="67">
        <f>115983-5121</f>
        <v>110862</v>
      </c>
      <c r="T45" s="69"/>
      <c r="V45" s="6">
        <f t="shared" si="7"/>
        <v>0</v>
      </c>
    </row>
    <row r="46" spans="1:22">
      <c r="A46" s="46" t="s">
        <v>102</v>
      </c>
      <c r="B46" s="47" t="s">
        <v>103</v>
      </c>
      <c r="C46" s="29"/>
      <c r="D46" s="29"/>
      <c r="E46" s="29"/>
      <c r="F46" s="28">
        <f t="shared" ref="F46:T46" si="19">SUM(F47:F51)</f>
        <v>0</v>
      </c>
      <c r="G46" s="28">
        <f t="shared" si="19"/>
        <v>1377489</v>
      </c>
      <c r="H46" s="28">
        <f t="shared" si="19"/>
        <v>0</v>
      </c>
      <c r="I46" s="28">
        <f t="shared" si="19"/>
        <v>0</v>
      </c>
      <c r="J46" s="28">
        <f t="shared" si="19"/>
        <v>0</v>
      </c>
      <c r="K46" s="28">
        <f t="shared" si="19"/>
        <v>1377489</v>
      </c>
      <c r="L46" s="28">
        <f t="shared" si="19"/>
        <v>1646</v>
      </c>
      <c r="M46" s="28">
        <f t="shared" si="19"/>
        <v>1405602</v>
      </c>
      <c r="N46" s="36">
        <f t="shared" si="19"/>
        <v>0</v>
      </c>
      <c r="O46" s="36">
        <f t="shared" si="19"/>
        <v>0</v>
      </c>
      <c r="P46" s="36">
        <f t="shared" si="19"/>
        <v>0</v>
      </c>
      <c r="Q46" s="36">
        <f t="shared" si="19"/>
        <v>138805</v>
      </c>
      <c r="R46" s="36">
        <f t="shared" si="19"/>
        <v>0</v>
      </c>
      <c r="S46" s="28">
        <f t="shared" si="19"/>
        <v>1266797</v>
      </c>
      <c r="T46" s="70">
        <f t="shared" si="19"/>
        <v>0</v>
      </c>
      <c r="V46" s="6">
        <f t="shared" si="7"/>
        <v>0</v>
      </c>
    </row>
    <row r="47" spans="1:22" ht="60">
      <c r="A47" s="53">
        <v>1</v>
      </c>
      <c r="B47" s="59" t="s">
        <v>104</v>
      </c>
      <c r="C47" s="53" t="s">
        <v>92</v>
      </c>
      <c r="D47" s="53" t="s">
        <v>26</v>
      </c>
      <c r="E47" s="53" t="s">
        <v>105</v>
      </c>
      <c r="F47" s="53" t="s">
        <v>106</v>
      </c>
      <c r="G47" s="54">
        <f>SUM(H47:K47)</f>
        <v>426851</v>
      </c>
      <c r="H47" s="54"/>
      <c r="I47" s="54"/>
      <c r="J47" s="54"/>
      <c r="K47" s="54">
        <v>426851</v>
      </c>
      <c r="L47" s="60">
        <v>476</v>
      </c>
      <c r="M47" s="57">
        <f>SUM(N47:S47)</f>
        <v>370674</v>
      </c>
      <c r="N47" s="66"/>
      <c r="O47" s="66"/>
      <c r="P47" s="66"/>
      <c r="Q47" s="66"/>
      <c r="R47" s="66"/>
      <c r="S47" s="67">
        <f>426388-13-1-38333-123-17244</f>
        <v>370674</v>
      </c>
      <c r="T47" s="71" t="s">
        <v>107</v>
      </c>
      <c r="V47" s="6">
        <f t="shared" si="7"/>
        <v>0</v>
      </c>
    </row>
    <row r="48" spans="1:22" ht="30">
      <c r="A48" s="53">
        <v>2</v>
      </c>
      <c r="B48" s="59" t="s">
        <v>108</v>
      </c>
      <c r="C48" s="53" t="s">
        <v>58</v>
      </c>
      <c r="D48" s="53" t="s">
        <v>31</v>
      </c>
      <c r="E48" s="53" t="s">
        <v>109</v>
      </c>
      <c r="F48" s="53" t="s">
        <v>110</v>
      </c>
      <c r="G48" s="54">
        <f>SUM(H48:K48)</f>
        <v>38857</v>
      </c>
      <c r="H48" s="54"/>
      <c r="I48" s="54"/>
      <c r="J48" s="54"/>
      <c r="K48" s="54">
        <v>38857</v>
      </c>
      <c r="L48" s="60">
        <v>500</v>
      </c>
      <c r="M48" s="57">
        <f>SUM(N48:S48)</f>
        <v>38213</v>
      </c>
      <c r="N48" s="66"/>
      <c r="O48" s="66"/>
      <c r="P48" s="66"/>
      <c r="Q48" s="66"/>
      <c r="R48" s="66"/>
      <c r="S48" s="67">
        <v>38213</v>
      </c>
      <c r="T48" s="37"/>
      <c r="V48" s="6">
        <f t="shared" si="7"/>
        <v>0</v>
      </c>
    </row>
    <row r="49" spans="1:22" ht="60">
      <c r="A49" s="53">
        <v>3</v>
      </c>
      <c r="B49" s="59" t="s">
        <v>111</v>
      </c>
      <c r="C49" s="53" t="s">
        <v>40</v>
      </c>
      <c r="D49" s="53" t="s">
        <v>31</v>
      </c>
      <c r="E49" s="53" t="s">
        <v>109</v>
      </c>
      <c r="F49" s="53" t="s">
        <v>110</v>
      </c>
      <c r="G49" s="54">
        <f>SUM(H49:K49)</f>
        <v>48236</v>
      </c>
      <c r="H49" s="54"/>
      <c r="I49" s="54"/>
      <c r="J49" s="54"/>
      <c r="K49" s="54">
        <v>48236</v>
      </c>
      <c r="L49" s="60">
        <v>670</v>
      </c>
      <c r="M49" s="57">
        <f>SUM(N49:S49)</f>
        <v>47562</v>
      </c>
      <c r="N49" s="66"/>
      <c r="O49" s="66"/>
      <c r="P49" s="66"/>
      <c r="Q49" s="66"/>
      <c r="R49" s="66"/>
      <c r="S49" s="67">
        <v>47562</v>
      </c>
      <c r="T49" s="37"/>
      <c r="V49" s="6">
        <f t="shared" si="7"/>
        <v>0</v>
      </c>
    </row>
    <row r="50" spans="1:22" ht="30">
      <c r="A50" s="53">
        <v>4</v>
      </c>
      <c r="B50" s="72" t="s">
        <v>45</v>
      </c>
      <c r="C50" s="40" t="s">
        <v>46</v>
      </c>
      <c r="D50" s="40" t="s">
        <v>26</v>
      </c>
      <c r="E50" s="40" t="s">
        <v>112</v>
      </c>
      <c r="F50" s="53" t="s">
        <v>113</v>
      </c>
      <c r="G50" s="54">
        <f>SUM(H50:K50)</f>
        <v>513902</v>
      </c>
      <c r="H50" s="56"/>
      <c r="I50" s="56"/>
      <c r="J50" s="56"/>
      <c r="K50" s="477">
        <v>513902</v>
      </c>
      <c r="L50" s="60"/>
      <c r="M50" s="57">
        <f>SUM(N50:S50)</f>
        <v>510600</v>
      </c>
      <c r="N50" s="66"/>
      <c r="O50" s="66"/>
      <c r="P50" s="66"/>
      <c r="Q50" s="66">
        <v>50000</v>
      </c>
      <c r="R50" s="66"/>
      <c r="S50" s="67">
        <f>180000+330600-50000</f>
        <v>460600</v>
      </c>
      <c r="T50" s="37"/>
      <c r="V50" s="6">
        <f t="shared" si="7"/>
        <v>0</v>
      </c>
    </row>
    <row r="51" spans="1:22" ht="30">
      <c r="A51" s="53">
        <v>5</v>
      </c>
      <c r="B51" s="59" t="s">
        <v>114</v>
      </c>
      <c r="C51" s="53" t="s">
        <v>97</v>
      </c>
      <c r="D51" s="53" t="s">
        <v>26</v>
      </c>
      <c r="E51" s="53" t="s">
        <v>115</v>
      </c>
      <c r="F51" s="53" t="s">
        <v>116</v>
      </c>
      <c r="G51" s="54">
        <v>349643</v>
      </c>
      <c r="H51" s="54"/>
      <c r="I51" s="54"/>
      <c r="J51" s="54"/>
      <c r="K51" s="54">
        <v>349643</v>
      </c>
      <c r="L51" s="60"/>
      <c r="M51" s="57">
        <f>SUM(N51:S51)</f>
        <v>438553</v>
      </c>
      <c r="N51" s="66"/>
      <c r="O51" s="66"/>
      <c r="P51" s="66"/>
      <c r="Q51" s="66">
        <v>88805</v>
      </c>
      <c r="R51" s="66"/>
      <c r="S51" s="67">
        <v>349748</v>
      </c>
      <c r="T51" s="37"/>
      <c r="V51" s="6">
        <f t="shared" si="7"/>
        <v>0</v>
      </c>
    </row>
    <row r="52" spans="1:22">
      <c r="A52" s="478" t="s">
        <v>117</v>
      </c>
      <c r="B52" s="47" t="s">
        <v>118</v>
      </c>
      <c r="C52" s="29"/>
      <c r="D52" s="29"/>
      <c r="E52" s="29"/>
      <c r="F52" s="58">
        <f t="shared" ref="F52:T52" si="20">F53+F76</f>
        <v>0</v>
      </c>
      <c r="G52" s="58">
        <f t="shared" si="20"/>
        <v>37994550.456</v>
      </c>
      <c r="H52" s="58">
        <f t="shared" si="20"/>
        <v>25532710.456</v>
      </c>
      <c r="I52" s="58">
        <f t="shared" si="20"/>
        <v>0</v>
      </c>
      <c r="J52" s="58">
        <f t="shared" si="20"/>
        <v>0</v>
      </c>
      <c r="K52" s="58">
        <f t="shared" si="20"/>
        <v>12461840</v>
      </c>
      <c r="L52" s="58">
        <f t="shared" si="20"/>
        <v>6632724.0474880002</v>
      </c>
      <c r="M52" s="48">
        <f t="shared" si="20"/>
        <v>18907820</v>
      </c>
      <c r="N52" s="49">
        <f t="shared" si="20"/>
        <v>11833830</v>
      </c>
      <c r="O52" s="49">
        <f t="shared" si="20"/>
        <v>0</v>
      </c>
      <c r="P52" s="49">
        <f t="shared" si="20"/>
        <v>0</v>
      </c>
      <c r="Q52" s="49">
        <f t="shared" si="20"/>
        <v>368195</v>
      </c>
      <c r="R52" s="49">
        <f t="shared" si="20"/>
        <v>0</v>
      </c>
      <c r="S52" s="48">
        <f t="shared" si="20"/>
        <v>6705795</v>
      </c>
      <c r="T52" s="50">
        <f t="shared" si="20"/>
        <v>0</v>
      </c>
      <c r="V52" s="6">
        <f t="shared" si="7"/>
        <v>0</v>
      </c>
    </row>
    <row r="53" spans="1:22" ht="24.75" customHeight="1">
      <c r="A53" s="478" t="s">
        <v>37</v>
      </c>
      <c r="B53" s="47" t="s">
        <v>38</v>
      </c>
      <c r="C53" s="29"/>
      <c r="D53" s="29"/>
      <c r="E53" s="29"/>
      <c r="F53" s="479"/>
      <c r="G53" s="58">
        <f t="shared" ref="G53:T53" si="21">SUM(G54:G75)</f>
        <v>72612</v>
      </c>
      <c r="H53" s="58">
        <f t="shared" si="21"/>
        <v>0</v>
      </c>
      <c r="I53" s="58">
        <f t="shared" si="21"/>
        <v>0</v>
      </c>
      <c r="J53" s="58">
        <f t="shared" si="21"/>
        <v>0</v>
      </c>
      <c r="K53" s="58">
        <f t="shared" si="21"/>
        <v>72612</v>
      </c>
      <c r="L53" s="58">
        <f t="shared" si="21"/>
        <v>4930</v>
      </c>
      <c r="M53" s="48">
        <f t="shared" si="21"/>
        <v>33014</v>
      </c>
      <c r="N53" s="49">
        <f t="shared" si="21"/>
        <v>0</v>
      </c>
      <c r="O53" s="49">
        <f t="shared" si="21"/>
        <v>0</v>
      </c>
      <c r="P53" s="49">
        <f t="shared" si="21"/>
        <v>0</v>
      </c>
      <c r="Q53" s="49">
        <f t="shared" si="21"/>
        <v>0</v>
      </c>
      <c r="R53" s="49">
        <f t="shared" si="21"/>
        <v>0</v>
      </c>
      <c r="S53" s="48">
        <f t="shared" si="21"/>
        <v>33014</v>
      </c>
      <c r="T53" s="50">
        <f t="shared" si="21"/>
        <v>0</v>
      </c>
      <c r="V53" s="6">
        <f t="shared" si="7"/>
        <v>0</v>
      </c>
    </row>
    <row r="54" spans="1:22" ht="60">
      <c r="A54" s="75">
        <v>1</v>
      </c>
      <c r="B54" s="16" t="s">
        <v>119</v>
      </c>
      <c r="C54" s="15" t="s">
        <v>40</v>
      </c>
      <c r="D54" s="29"/>
      <c r="E54" s="76" t="s">
        <v>120</v>
      </c>
      <c r="F54" s="33" t="s">
        <v>121</v>
      </c>
      <c r="G54" s="77">
        <f>SUM(H54:K54)</f>
        <v>2217</v>
      </c>
      <c r="H54" s="58"/>
      <c r="I54" s="58"/>
      <c r="J54" s="58"/>
      <c r="K54" s="77">
        <v>2217</v>
      </c>
      <c r="L54" s="78">
        <v>300</v>
      </c>
      <c r="M54" s="19">
        <f>SUM(N54:S54)</f>
        <v>1188</v>
      </c>
      <c r="N54" s="49"/>
      <c r="O54" s="49"/>
      <c r="P54" s="49"/>
      <c r="Q54" s="49"/>
      <c r="R54" s="49"/>
      <c r="S54" s="79">
        <v>1188</v>
      </c>
      <c r="T54" s="37"/>
      <c r="V54" s="6">
        <f t="shared" si="7"/>
        <v>0</v>
      </c>
    </row>
    <row r="55" spans="1:22" ht="30">
      <c r="A55" s="75">
        <v>2</v>
      </c>
      <c r="B55" s="16" t="s">
        <v>122</v>
      </c>
      <c r="C55" s="15" t="s">
        <v>123</v>
      </c>
      <c r="D55" s="29"/>
      <c r="E55" s="76" t="s">
        <v>41</v>
      </c>
      <c r="F55" s="33" t="s">
        <v>124</v>
      </c>
      <c r="G55" s="77">
        <f t="shared" ref="G55:G75" si="22">SUM(H55:K55)</f>
        <v>733</v>
      </c>
      <c r="H55" s="58"/>
      <c r="I55" s="58"/>
      <c r="J55" s="58"/>
      <c r="K55" s="77">
        <v>733</v>
      </c>
      <c r="L55" s="78">
        <v>210</v>
      </c>
      <c r="M55" s="19">
        <f t="shared" ref="M55:M75" si="23">SUM(N55:S55)</f>
        <v>523</v>
      </c>
      <c r="N55" s="49"/>
      <c r="O55" s="49"/>
      <c r="P55" s="49"/>
      <c r="Q55" s="49"/>
      <c r="R55" s="49"/>
      <c r="S55" s="79">
        <v>523</v>
      </c>
      <c r="T55" s="37"/>
      <c r="V55" s="6">
        <f t="shared" si="7"/>
        <v>0</v>
      </c>
    </row>
    <row r="56" spans="1:22" ht="30">
      <c r="A56" s="75">
        <v>3</v>
      </c>
      <c r="B56" s="16" t="s">
        <v>125</v>
      </c>
      <c r="C56" s="15" t="s">
        <v>126</v>
      </c>
      <c r="D56" s="29"/>
      <c r="E56" s="76" t="s">
        <v>41</v>
      </c>
      <c r="F56" s="33" t="s">
        <v>127</v>
      </c>
      <c r="G56" s="77">
        <f t="shared" si="22"/>
        <v>3300</v>
      </c>
      <c r="H56" s="58"/>
      <c r="I56" s="58"/>
      <c r="J56" s="58"/>
      <c r="K56" s="77">
        <v>3300</v>
      </c>
      <c r="L56" s="78">
        <v>900</v>
      </c>
      <c r="M56" s="19">
        <f t="shared" si="23"/>
        <v>0</v>
      </c>
      <c r="N56" s="49"/>
      <c r="O56" s="49"/>
      <c r="P56" s="49"/>
      <c r="Q56" s="49"/>
      <c r="R56" s="49"/>
      <c r="S56" s="79">
        <v>0</v>
      </c>
      <c r="T56" s="37"/>
      <c r="V56" s="6">
        <f t="shared" si="7"/>
        <v>0</v>
      </c>
    </row>
    <row r="57" spans="1:22" ht="60">
      <c r="A57" s="75">
        <v>4</v>
      </c>
      <c r="B57" s="16" t="s">
        <v>128</v>
      </c>
      <c r="C57" s="15" t="s">
        <v>129</v>
      </c>
      <c r="D57" s="29"/>
      <c r="E57" s="76" t="s">
        <v>41</v>
      </c>
      <c r="F57" s="33" t="s">
        <v>130</v>
      </c>
      <c r="G57" s="77">
        <f t="shared" si="22"/>
        <v>3740</v>
      </c>
      <c r="H57" s="58"/>
      <c r="I57" s="58"/>
      <c r="J57" s="58"/>
      <c r="K57" s="77">
        <v>3740</v>
      </c>
      <c r="L57" s="78"/>
      <c r="M57" s="19">
        <f t="shared" si="23"/>
        <v>800</v>
      </c>
      <c r="N57" s="49"/>
      <c r="O57" s="49"/>
      <c r="P57" s="49"/>
      <c r="Q57" s="49"/>
      <c r="R57" s="49"/>
      <c r="S57" s="79">
        <v>800</v>
      </c>
      <c r="T57" s="37"/>
      <c r="V57" s="6">
        <f t="shared" si="7"/>
        <v>0</v>
      </c>
    </row>
    <row r="58" spans="1:22" ht="30">
      <c r="A58" s="75">
        <v>5</v>
      </c>
      <c r="B58" s="16" t="s">
        <v>131</v>
      </c>
      <c r="C58" s="15" t="s">
        <v>126</v>
      </c>
      <c r="D58" s="29"/>
      <c r="E58" s="76" t="s">
        <v>41</v>
      </c>
      <c r="F58" s="33" t="s">
        <v>132</v>
      </c>
      <c r="G58" s="77">
        <f t="shared" si="22"/>
        <v>2310</v>
      </c>
      <c r="H58" s="58"/>
      <c r="I58" s="58"/>
      <c r="J58" s="58"/>
      <c r="K58" s="77">
        <v>2310</v>
      </c>
      <c r="L58" s="78"/>
      <c r="M58" s="19">
        <f t="shared" si="23"/>
        <v>950</v>
      </c>
      <c r="N58" s="49"/>
      <c r="O58" s="49"/>
      <c r="P58" s="49"/>
      <c r="Q58" s="49"/>
      <c r="R58" s="49"/>
      <c r="S58" s="79">
        <v>950</v>
      </c>
      <c r="T58" s="37"/>
      <c r="V58" s="6">
        <f t="shared" si="7"/>
        <v>0</v>
      </c>
    </row>
    <row r="59" spans="1:22" ht="30">
      <c r="A59" s="75">
        <v>6</v>
      </c>
      <c r="B59" s="16" t="s">
        <v>133</v>
      </c>
      <c r="C59" s="80"/>
      <c r="D59" s="29"/>
      <c r="E59" s="76"/>
      <c r="F59" s="15" t="s">
        <v>134</v>
      </c>
      <c r="G59" s="77">
        <f t="shared" si="22"/>
        <v>25313</v>
      </c>
      <c r="H59" s="58"/>
      <c r="I59" s="58"/>
      <c r="J59" s="58"/>
      <c r="K59" s="236">
        <v>25313</v>
      </c>
      <c r="L59" s="77"/>
      <c r="M59" s="19">
        <f t="shared" si="23"/>
        <v>2000</v>
      </c>
      <c r="N59" s="49"/>
      <c r="O59" s="49"/>
      <c r="P59" s="49"/>
      <c r="Q59" s="49"/>
      <c r="R59" s="49"/>
      <c r="S59" s="79">
        <v>2000</v>
      </c>
      <c r="T59" s="37"/>
      <c r="V59" s="6">
        <f t="shared" si="7"/>
        <v>0</v>
      </c>
    </row>
    <row r="60" spans="1:22" ht="60">
      <c r="A60" s="75">
        <v>7</v>
      </c>
      <c r="B60" s="16" t="s">
        <v>135</v>
      </c>
      <c r="C60" s="15" t="s">
        <v>136</v>
      </c>
      <c r="D60" s="29"/>
      <c r="E60" s="33" t="s">
        <v>41</v>
      </c>
      <c r="F60" s="81" t="s">
        <v>137</v>
      </c>
      <c r="G60" s="77">
        <f t="shared" si="22"/>
        <v>439</v>
      </c>
      <c r="H60" s="58"/>
      <c r="I60" s="58"/>
      <c r="J60" s="58"/>
      <c r="K60" s="33">
        <v>439</v>
      </c>
      <c r="L60" s="34"/>
      <c r="M60" s="19">
        <f t="shared" si="23"/>
        <v>380</v>
      </c>
      <c r="N60" s="49"/>
      <c r="O60" s="49"/>
      <c r="P60" s="49"/>
      <c r="Q60" s="49"/>
      <c r="R60" s="49"/>
      <c r="S60" s="79">
        <v>380</v>
      </c>
      <c r="T60" s="37"/>
      <c r="V60" s="6">
        <f t="shared" si="7"/>
        <v>0</v>
      </c>
    </row>
    <row r="61" spans="1:22" ht="30">
      <c r="A61" s="75">
        <v>8</v>
      </c>
      <c r="B61" s="16" t="s">
        <v>138</v>
      </c>
      <c r="C61" s="15" t="s">
        <v>136</v>
      </c>
      <c r="D61" s="29"/>
      <c r="E61" s="33" t="s">
        <v>41</v>
      </c>
      <c r="F61" s="33" t="s">
        <v>139</v>
      </c>
      <c r="G61" s="77">
        <f t="shared" si="22"/>
        <v>436</v>
      </c>
      <c r="H61" s="58"/>
      <c r="I61" s="58"/>
      <c r="J61" s="58"/>
      <c r="K61" s="82">
        <v>436</v>
      </c>
      <c r="L61" s="78"/>
      <c r="M61" s="19">
        <f t="shared" si="23"/>
        <v>390</v>
      </c>
      <c r="N61" s="49"/>
      <c r="O61" s="49"/>
      <c r="P61" s="49"/>
      <c r="Q61" s="49"/>
      <c r="R61" s="49"/>
      <c r="S61" s="79">
        <v>390</v>
      </c>
      <c r="T61" s="37"/>
      <c r="V61" s="6">
        <f t="shared" si="7"/>
        <v>0</v>
      </c>
    </row>
    <row r="62" spans="1:22" ht="75">
      <c r="A62" s="75">
        <v>9</v>
      </c>
      <c r="B62" s="16" t="s">
        <v>140</v>
      </c>
      <c r="C62" s="15" t="s">
        <v>141</v>
      </c>
      <c r="D62" s="29"/>
      <c r="E62" s="33" t="s">
        <v>41</v>
      </c>
      <c r="F62" s="33" t="s">
        <v>142</v>
      </c>
      <c r="G62" s="77">
        <f t="shared" si="22"/>
        <v>610</v>
      </c>
      <c r="H62" s="58"/>
      <c r="I62" s="58"/>
      <c r="J62" s="58"/>
      <c r="K62" s="34">
        <v>610</v>
      </c>
      <c r="L62" s="78"/>
      <c r="M62" s="19">
        <f t="shared" si="23"/>
        <v>550</v>
      </c>
      <c r="N62" s="49"/>
      <c r="O62" s="49"/>
      <c r="P62" s="49"/>
      <c r="Q62" s="49"/>
      <c r="R62" s="49"/>
      <c r="S62" s="79">
        <v>550</v>
      </c>
      <c r="T62" s="37"/>
      <c r="V62" s="6">
        <f t="shared" si="7"/>
        <v>0</v>
      </c>
    </row>
    <row r="63" spans="1:22" ht="90">
      <c r="A63" s="75">
        <v>10</v>
      </c>
      <c r="B63" s="16" t="s">
        <v>143</v>
      </c>
      <c r="C63" s="15" t="s">
        <v>136</v>
      </c>
      <c r="D63" s="29"/>
      <c r="E63" s="33" t="s">
        <v>41</v>
      </c>
      <c r="F63" s="33" t="s">
        <v>144</v>
      </c>
      <c r="G63" s="77">
        <f t="shared" si="22"/>
        <v>1175</v>
      </c>
      <c r="H63" s="58"/>
      <c r="I63" s="58"/>
      <c r="J63" s="58"/>
      <c r="K63" s="34">
        <v>1175</v>
      </c>
      <c r="L63" s="78"/>
      <c r="M63" s="19">
        <f t="shared" si="23"/>
        <v>1000</v>
      </c>
      <c r="N63" s="49"/>
      <c r="O63" s="49"/>
      <c r="P63" s="49"/>
      <c r="Q63" s="49"/>
      <c r="R63" s="49"/>
      <c r="S63" s="79">
        <v>1000</v>
      </c>
      <c r="T63" s="37"/>
      <c r="V63" s="6">
        <f t="shared" si="7"/>
        <v>0</v>
      </c>
    </row>
    <row r="64" spans="1:22" ht="60">
      <c r="A64" s="75">
        <v>11</v>
      </c>
      <c r="B64" s="83" t="s">
        <v>145</v>
      </c>
      <c r="C64" s="15" t="s">
        <v>40</v>
      </c>
      <c r="D64" s="29"/>
      <c r="E64" s="33" t="s">
        <v>41</v>
      </c>
      <c r="F64" s="33" t="s">
        <v>146</v>
      </c>
      <c r="G64" s="77">
        <f t="shared" si="22"/>
        <v>139</v>
      </c>
      <c r="H64" s="58"/>
      <c r="I64" s="58"/>
      <c r="J64" s="58"/>
      <c r="K64" s="34">
        <v>139</v>
      </c>
      <c r="L64" s="78"/>
      <c r="M64" s="19">
        <f t="shared" si="23"/>
        <v>120</v>
      </c>
      <c r="N64" s="49"/>
      <c r="O64" s="49"/>
      <c r="P64" s="49"/>
      <c r="Q64" s="49"/>
      <c r="R64" s="49"/>
      <c r="S64" s="79">
        <v>120</v>
      </c>
      <c r="T64" s="37"/>
      <c r="V64" s="6">
        <f t="shared" si="7"/>
        <v>0</v>
      </c>
    </row>
    <row r="65" spans="1:22" ht="30">
      <c r="A65" s="75">
        <v>12</v>
      </c>
      <c r="B65" s="84" t="s">
        <v>147</v>
      </c>
      <c r="C65" s="76" t="s">
        <v>148</v>
      </c>
      <c r="D65" s="29"/>
      <c r="E65" s="76" t="s">
        <v>149</v>
      </c>
      <c r="F65" s="81" t="s">
        <v>150</v>
      </c>
      <c r="G65" s="77">
        <f t="shared" si="22"/>
        <v>3296</v>
      </c>
      <c r="H65" s="58"/>
      <c r="I65" s="58"/>
      <c r="J65" s="58"/>
      <c r="K65" s="45">
        <v>3296</v>
      </c>
      <c r="L65" s="45">
        <v>750</v>
      </c>
      <c r="M65" s="19">
        <f t="shared" si="23"/>
        <v>2214</v>
      </c>
      <c r="N65" s="49"/>
      <c r="O65" s="49"/>
      <c r="P65" s="49"/>
      <c r="Q65" s="49"/>
      <c r="R65" s="49"/>
      <c r="S65" s="85">
        <v>2214</v>
      </c>
      <c r="T65" s="37"/>
      <c r="V65" s="6">
        <f t="shared" si="7"/>
        <v>0</v>
      </c>
    </row>
    <row r="66" spans="1:22" ht="30">
      <c r="A66" s="75">
        <v>13</v>
      </c>
      <c r="B66" s="84" t="s">
        <v>151</v>
      </c>
      <c r="C66" s="76" t="s">
        <v>92</v>
      </c>
      <c r="D66" s="29"/>
      <c r="E66" s="76" t="s">
        <v>149</v>
      </c>
      <c r="F66" s="81" t="s">
        <v>152</v>
      </c>
      <c r="G66" s="77">
        <f t="shared" si="22"/>
        <v>957</v>
      </c>
      <c r="H66" s="58"/>
      <c r="I66" s="58"/>
      <c r="J66" s="58"/>
      <c r="K66" s="45">
        <v>957</v>
      </c>
      <c r="L66" s="45">
        <v>410</v>
      </c>
      <c r="M66" s="19">
        <f t="shared" si="23"/>
        <v>438</v>
      </c>
      <c r="N66" s="49"/>
      <c r="O66" s="49"/>
      <c r="P66" s="49"/>
      <c r="Q66" s="49"/>
      <c r="R66" s="49"/>
      <c r="S66" s="85">
        <v>438</v>
      </c>
      <c r="T66" s="37"/>
      <c r="V66" s="6">
        <f t="shared" si="7"/>
        <v>0</v>
      </c>
    </row>
    <row r="67" spans="1:22" ht="30">
      <c r="A67" s="75">
        <v>14</v>
      </c>
      <c r="B67" s="84" t="s">
        <v>153</v>
      </c>
      <c r="C67" s="76" t="s">
        <v>123</v>
      </c>
      <c r="D67" s="29"/>
      <c r="E67" s="76" t="s">
        <v>109</v>
      </c>
      <c r="F67" s="81" t="s">
        <v>154</v>
      </c>
      <c r="G67" s="77">
        <f t="shared" si="22"/>
        <v>613</v>
      </c>
      <c r="H67" s="58"/>
      <c r="I67" s="58"/>
      <c r="J67" s="58"/>
      <c r="K67" s="45">
        <v>613</v>
      </c>
      <c r="L67" s="45">
        <v>300</v>
      </c>
      <c r="M67" s="19">
        <f t="shared" si="23"/>
        <v>250</v>
      </c>
      <c r="N67" s="49"/>
      <c r="O67" s="49"/>
      <c r="P67" s="49"/>
      <c r="Q67" s="49"/>
      <c r="R67" s="49"/>
      <c r="S67" s="85">
        <v>250</v>
      </c>
      <c r="T67" s="37"/>
      <c r="V67" s="6">
        <f t="shared" si="7"/>
        <v>0</v>
      </c>
    </row>
    <row r="68" spans="1:22" ht="60">
      <c r="A68" s="75">
        <v>15</v>
      </c>
      <c r="B68" s="84" t="s">
        <v>155</v>
      </c>
      <c r="C68" s="76" t="s">
        <v>156</v>
      </c>
      <c r="D68" s="29"/>
      <c r="E68" s="76" t="s">
        <v>109</v>
      </c>
      <c r="F68" s="81" t="s">
        <v>157</v>
      </c>
      <c r="G68" s="77">
        <f t="shared" si="22"/>
        <v>543</v>
      </c>
      <c r="H68" s="58"/>
      <c r="I68" s="58"/>
      <c r="J68" s="58"/>
      <c r="K68" s="45">
        <v>543</v>
      </c>
      <c r="L68" s="45">
        <v>350</v>
      </c>
      <c r="M68" s="19">
        <f t="shared" si="23"/>
        <v>154</v>
      </c>
      <c r="N68" s="49"/>
      <c r="O68" s="49"/>
      <c r="P68" s="49"/>
      <c r="Q68" s="49"/>
      <c r="R68" s="49"/>
      <c r="S68" s="85">
        <v>154</v>
      </c>
      <c r="T68" s="37"/>
      <c r="V68" s="6">
        <f t="shared" si="7"/>
        <v>0</v>
      </c>
    </row>
    <row r="69" spans="1:22" ht="45">
      <c r="A69" s="75">
        <v>16</v>
      </c>
      <c r="B69" s="84" t="s">
        <v>158</v>
      </c>
      <c r="C69" s="76" t="s">
        <v>159</v>
      </c>
      <c r="D69" s="29"/>
      <c r="E69" s="76" t="s">
        <v>160</v>
      </c>
      <c r="F69" s="81" t="s">
        <v>161</v>
      </c>
      <c r="G69" s="77">
        <f t="shared" si="22"/>
        <v>10240</v>
      </c>
      <c r="H69" s="58"/>
      <c r="I69" s="58"/>
      <c r="J69" s="58"/>
      <c r="K69" s="45">
        <v>10240</v>
      </c>
      <c r="L69" s="45">
        <v>1260</v>
      </c>
      <c r="M69" s="19">
        <f t="shared" si="23"/>
        <v>7184</v>
      </c>
      <c r="N69" s="49"/>
      <c r="O69" s="49"/>
      <c r="P69" s="49"/>
      <c r="Q69" s="49"/>
      <c r="R69" s="49"/>
      <c r="S69" s="85">
        <v>7184</v>
      </c>
      <c r="T69" s="37"/>
      <c r="V69" s="6">
        <f t="shared" si="7"/>
        <v>0</v>
      </c>
    </row>
    <row r="70" spans="1:22" ht="30">
      <c r="A70" s="75">
        <v>17</v>
      </c>
      <c r="B70" s="84" t="s">
        <v>162</v>
      </c>
      <c r="C70" s="76" t="s">
        <v>52</v>
      </c>
      <c r="D70" s="29"/>
      <c r="E70" s="76" t="s">
        <v>109</v>
      </c>
      <c r="F70" s="81" t="s">
        <v>163</v>
      </c>
      <c r="G70" s="77">
        <f t="shared" si="22"/>
        <v>791</v>
      </c>
      <c r="H70" s="58"/>
      <c r="I70" s="58"/>
      <c r="J70" s="58"/>
      <c r="K70" s="45">
        <v>791</v>
      </c>
      <c r="L70" s="45">
        <v>450</v>
      </c>
      <c r="M70" s="19">
        <f t="shared" si="23"/>
        <v>273</v>
      </c>
      <c r="N70" s="49"/>
      <c r="O70" s="49"/>
      <c r="P70" s="49"/>
      <c r="Q70" s="49"/>
      <c r="R70" s="49"/>
      <c r="S70" s="85">
        <v>273</v>
      </c>
      <c r="T70" s="37"/>
      <c r="V70" s="6">
        <f t="shared" si="7"/>
        <v>0</v>
      </c>
    </row>
    <row r="71" spans="1:22" ht="45">
      <c r="A71" s="75">
        <v>18</v>
      </c>
      <c r="B71" s="84" t="s">
        <v>164</v>
      </c>
      <c r="C71" s="76" t="s">
        <v>165</v>
      </c>
      <c r="D71" s="29"/>
      <c r="E71" s="76" t="s">
        <v>166</v>
      </c>
      <c r="F71" s="76" t="s">
        <v>167</v>
      </c>
      <c r="G71" s="77">
        <f t="shared" si="22"/>
        <v>4353</v>
      </c>
      <c r="H71" s="58"/>
      <c r="I71" s="58"/>
      <c r="J71" s="58"/>
      <c r="K71" s="34">
        <v>4353</v>
      </c>
      <c r="L71" s="45"/>
      <c r="M71" s="19">
        <f t="shared" si="23"/>
        <v>4000</v>
      </c>
      <c r="N71" s="49"/>
      <c r="O71" s="49"/>
      <c r="P71" s="49"/>
      <c r="Q71" s="49"/>
      <c r="R71" s="49"/>
      <c r="S71" s="67">
        <v>4000</v>
      </c>
      <c r="T71" s="37"/>
      <c r="V71" s="6">
        <f t="shared" si="7"/>
        <v>0</v>
      </c>
    </row>
    <row r="72" spans="1:22" ht="60">
      <c r="A72" s="75">
        <v>19</v>
      </c>
      <c r="B72" s="16" t="s">
        <v>168</v>
      </c>
      <c r="C72" s="76"/>
      <c r="D72" s="29"/>
      <c r="E72" s="76"/>
      <c r="F72" s="15" t="s">
        <v>169</v>
      </c>
      <c r="G72" s="77">
        <f t="shared" si="22"/>
        <v>3609</v>
      </c>
      <c r="H72" s="58"/>
      <c r="I72" s="58"/>
      <c r="J72" s="58"/>
      <c r="K72" s="236">
        <v>3609</v>
      </c>
      <c r="L72" s="45"/>
      <c r="M72" s="19">
        <f t="shared" si="23"/>
        <v>3000</v>
      </c>
      <c r="N72" s="49"/>
      <c r="O72" s="49"/>
      <c r="P72" s="49"/>
      <c r="Q72" s="49"/>
      <c r="R72" s="49"/>
      <c r="S72" s="480">
        <v>3000</v>
      </c>
      <c r="T72" s="37"/>
      <c r="V72" s="6">
        <f t="shared" si="7"/>
        <v>0</v>
      </c>
    </row>
    <row r="73" spans="1:22" ht="120">
      <c r="A73" s="75">
        <v>20</v>
      </c>
      <c r="B73" s="39" t="s">
        <v>170</v>
      </c>
      <c r="C73" s="41" t="s">
        <v>40</v>
      </c>
      <c r="D73" s="29"/>
      <c r="E73" s="41">
        <v>2022</v>
      </c>
      <c r="F73" s="41" t="s">
        <v>171</v>
      </c>
      <c r="G73" s="77">
        <f t="shared" si="22"/>
        <v>2571</v>
      </c>
      <c r="H73" s="58"/>
      <c r="I73" s="58"/>
      <c r="J73" s="58"/>
      <c r="K73" s="42">
        <v>2571</v>
      </c>
      <c r="L73" s="45"/>
      <c r="M73" s="19">
        <f t="shared" si="23"/>
        <v>2800</v>
      </c>
      <c r="N73" s="49"/>
      <c r="O73" s="49"/>
      <c r="P73" s="49"/>
      <c r="Q73" s="49"/>
      <c r="R73" s="49"/>
      <c r="S73" s="86">
        <f>2300+500</f>
        <v>2800</v>
      </c>
      <c r="T73" s="37"/>
      <c r="V73" s="6">
        <f t="shared" si="7"/>
        <v>0</v>
      </c>
    </row>
    <row r="74" spans="1:22" ht="60">
      <c r="A74" s="75">
        <v>21</v>
      </c>
      <c r="B74" s="39" t="s">
        <v>172</v>
      </c>
      <c r="C74" s="41" t="s">
        <v>46</v>
      </c>
      <c r="D74" s="29"/>
      <c r="E74" s="41" t="s">
        <v>47</v>
      </c>
      <c r="F74" s="41" t="s">
        <v>173</v>
      </c>
      <c r="G74" s="77">
        <f t="shared" si="22"/>
        <v>3407</v>
      </c>
      <c r="H74" s="58"/>
      <c r="I74" s="58"/>
      <c r="J74" s="58"/>
      <c r="K74" s="42">
        <v>3407</v>
      </c>
      <c r="L74" s="45"/>
      <c r="M74" s="19">
        <f t="shared" si="23"/>
        <v>3100</v>
      </c>
      <c r="N74" s="49"/>
      <c r="O74" s="49"/>
      <c r="P74" s="49"/>
      <c r="Q74" s="49"/>
      <c r="R74" s="49"/>
      <c r="S74" s="67">
        <v>3100</v>
      </c>
      <c r="T74" s="37"/>
      <c r="V74" s="6">
        <f t="shared" si="7"/>
        <v>0</v>
      </c>
    </row>
    <row r="75" spans="1:22" ht="60">
      <c r="A75" s="75">
        <v>22</v>
      </c>
      <c r="B75" s="39" t="s">
        <v>174</v>
      </c>
      <c r="C75" s="41" t="s">
        <v>46</v>
      </c>
      <c r="D75" s="29"/>
      <c r="E75" s="41" t="s">
        <v>47</v>
      </c>
      <c r="F75" s="41" t="s">
        <v>175</v>
      </c>
      <c r="G75" s="77">
        <f t="shared" si="22"/>
        <v>1820</v>
      </c>
      <c r="H75" s="58"/>
      <c r="I75" s="58"/>
      <c r="J75" s="58"/>
      <c r="K75" s="42">
        <v>1820</v>
      </c>
      <c r="L75" s="45"/>
      <c r="M75" s="19">
        <f t="shared" si="23"/>
        <v>1700</v>
      </c>
      <c r="N75" s="49"/>
      <c r="O75" s="49"/>
      <c r="P75" s="49"/>
      <c r="Q75" s="49"/>
      <c r="R75" s="49"/>
      <c r="S75" s="67">
        <v>1700</v>
      </c>
      <c r="T75" s="37"/>
      <c r="V75" s="6">
        <f t="shared" si="7"/>
        <v>0</v>
      </c>
    </row>
    <row r="76" spans="1:22">
      <c r="A76" s="87" t="s">
        <v>69</v>
      </c>
      <c r="B76" s="47" t="s">
        <v>70</v>
      </c>
      <c r="C76" s="29"/>
      <c r="D76" s="29"/>
      <c r="E76" s="29"/>
      <c r="F76" s="58">
        <f t="shared" ref="F76:T76" si="24">F77+F93+F107</f>
        <v>0</v>
      </c>
      <c r="G76" s="58">
        <f t="shared" si="24"/>
        <v>37921938.456</v>
      </c>
      <c r="H76" s="58">
        <f t="shared" si="24"/>
        <v>25532710.456</v>
      </c>
      <c r="I76" s="58">
        <f t="shared" si="24"/>
        <v>0</v>
      </c>
      <c r="J76" s="58">
        <f t="shared" si="24"/>
        <v>0</v>
      </c>
      <c r="K76" s="58">
        <f t="shared" si="24"/>
        <v>12389228</v>
      </c>
      <c r="L76" s="58">
        <f t="shared" si="24"/>
        <v>6627794.0474880002</v>
      </c>
      <c r="M76" s="48">
        <f t="shared" si="24"/>
        <v>18874806</v>
      </c>
      <c r="N76" s="49">
        <f t="shared" si="24"/>
        <v>11833830</v>
      </c>
      <c r="O76" s="49">
        <f t="shared" si="24"/>
        <v>0</v>
      </c>
      <c r="P76" s="49">
        <f t="shared" si="24"/>
        <v>0</v>
      </c>
      <c r="Q76" s="49">
        <f t="shared" si="24"/>
        <v>368195</v>
      </c>
      <c r="R76" s="49">
        <f t="shared" si="24"/>
        <v>0</v>
      </c>
      <c r="S76" s="48">
        <f t="shared" si="24"/>
        <v>6672781</v>
      </c>
      <c r="T76" s="50">
        <f t="shared" si="24"/>
        <v>0</v>
      </c>
      <c r="V76" s="6">
        <f t="shared" si="7"/>
        <v>0</v>
      </c>
    </row>
    <row r="77" spans="1:22" ht="28.5">
      <c r="A77" s="87" t="s">
        <v>71</v>
      </c>
      <c r="B77" s="47" t="s">
        <v>72</v>
      </c>
      <c r="C77" s="29"/>
      <c r="D77" s="29"/>
      <c r="E77" s="29"/>
      <c r="F77" s="58">
        <f t="shared" ref="F77:T77" si="25">SUM(F78:F92)</f>
        <v>0</v>
      </c>
      <c r="G77" s="58">
        <f t="shared" si="25"/>
        <v>7232356.4560000002</v>
      </c>
      <c r="H77" s="58">
        <f t="shared" si="25"/>
        <v>3243819.4560000002</v>
      </c>
      <c r="I77" s="58">
        <f t="shared" si="25"/>
        <v>0</v>
      </c>
      <c r="J77" s="58">
        <f t="shared" si="25"/>
        <v>0</v>
      </c>
      <c r="K77" s="58">
        <f t="shared" si="25"/>
        <v>3988537</v>
      </c>
      <c r="L77" s="58">
        <f t="shared" si="25"/>
        <v>4633615.0474880002</v>
      </c>
      <c r="M77" s="48">
        <f t="shared" si="25"/>
        <v>44919</v>
      </c>
      <c r="N77" s="49">
        <f t="shared" si="25"/>
        <v>0</v>
      </c>
      <c r="O77" s="49">
        <f t="shared" si="25"/>
        <v>0</v>
      </c>
      <c r="P77" s="49">
        <f t="shared" si="25"/>
        <v>0</v>
      </c>
      <c r="Q77" s="49">
        <f t="shared" si="25"/>
        <v>0</v>
      </c>
      <c r="R77" s="49">
        <f t="shared" si="25"/>
        <v>0</v>
      </c>
      <c r="S77" s="48">
        <f t="shared" si="25"/>
        <v>44919</v>
      </c>
      <c r="T77" s="50">
        <f t="shared" si="25"/>
        <v>0</v>
      </c>
      <c r="V77" s="6">
        <f t="shared" si="7"/>
        <v>0</v>
      </c>
    </row>
    <row r="78" spans="1:22" ht="30">
      <c r="A78" s="12">
        <v>1</v>
      </c>
      <c r="B78" s="88" t="s">
        <v>176</v>
      </c>
      <c r="C78" s="53" t="s">
        <v>177</v>
      </c>
      <c r="D78" s="53" t="s">
        <v>26</v>
      </c>
      <c r="E78" s="53" t="s">
        <v>77</v>
      </c>
      <c r="F78" s="53" t="s">
        <v>178</v>
      </c>
      <c r="G78" s="54">
        <f t="shared" ref="G78:G92" si="26">SUM(H78:K78)</f>
        <v>99425</v>
      </c>
      <c r="H78" s="55"/>
      <c r="I78" s="55"/>
      <c r="J78" s="55"/>
      <c r="K78" s="55">
        <v>99425</v>
      </c>
      <c r="L78" s="55">
        <v>86988</v>
      </c>
      <c r="M78" s="57">
        <f t="shared" ref="M78:M92" si="27">SUM(N78:S78)</f>
        <v>1200</v>
      </c>
      <c r="N78" s="55">
        <v>0</v>
      </c>
      <c r="O78" s="55">
        <v>0</v>
      </c>
      <c r="P78" s="55">
        <v>0</v>
      </c>
      <c r="Q78" s="55"/>
      <c r="R78" s="55"/>
      <c r="S78" s="57">
        <f>5961-4761</f>
        <v>1200</v>
      </c>
      <c r="T78" s="37"/>
      <c r="V78" s="6">
        <f t="shared" si="7"/>
        <v>0</v>
      </c>
    </row>
    <row r="79" spans="1:22" ht="60">
      <c r="A79" s="12">
        <v>2</v>
      </c>
      <c r="B79" s="88" t="s">
        <v>179</v>
      </c>
      <c r="C79" s="53" t="s">
        <v>52</v>
      </c>
      <c r="D79" s="53" t="s">
        <v>26</v>
      </c>
      <c r="E79" s="53" t="s">
        <v>180</v>
      </c>
      <c r="F79" s="53" t="s">
        <v>181</v>
      </c>
      <c r="G79" s="54">
        <f t="shared" si="26"/>
        <v>564474</v>
      </c>
      <c r="H79" s="55"/>
      <c r="I79" s="55"/>
      <c r="J79" s="89"/>
      <c r="K79" s="89">
        <v>564474</v>
      </c>
      <c r="L79" s="89">
        <v>418780</v>
      </c>
      <c r="M79" s="57">
        <f t="shared" si="27"/>
        <v>4500</v>
      </c>
      <c r="N79" s="55">
        <v>0</v>
      </c>
      <c r="O79" s="55">
        <v>0</v>
      </c>
      <c r="P79" s="55">
        <v>0</v>
      </c>
      <c r="Q79" s="55"/>
      <c r="R79" s="90"/>
      <c r="S79" s="91">
        <v>4500</v>
      </c>
      <c r="T79" s="37"/>
      <c r="V79" s="6">
        <f t="shared" si="7"/>
        <v>0</v>
      </c>
    </row>
    <row r="80" spans="1:22" ht="45">
      <c r="A80" s="12">
        <v>3</v>
      </c>
      <c r="B80" s="88" t="s">
        <v>182</v>
      </c>
      <c r="C80" s="53" t="s">
        <v>58</v>
      </c>
      <c r="D80" s="53" t="s">
        <v>26</v>
      </c>
      <c r="E80" s="53" t="s">
        <v>183</v>
      </c>
      <c r="F80" s="53" t="s">
        <v>184</v>
      </c>
      <c r="G80" s="54">
        <f t="shared" si="26"/>
        <v>230975</v>
      </c>
      <c r="H80" s="55"/>
      <c r="I80" s="55"/>
      <c r="J80" s="89"/>
      <c r="K80" s="89">
        <v>230975</v>
      </c>
      <c r="L80" s="89">
        <v>150210</v>
      </c>
      <c r="M80" s="57">
        <f t="shared" si="27"/>
        <v>178</v>
      </c>
      <c r="N80" s="55"/>
      <c r="O80" s="55"/>
      <c r="P80" s="55"/>
      <c r="Q80" s="55"/>
      <c r="R80" s="90"/>
      <c r="S80" s="91">
        <v>178</v>
      </c>
      <c r="T80" s="37"/>
      <c r="V80" s="6">
        <f t="shared" si="7"/>
        <v>0</v>
      </c>
    </row>
    <row r="81" spans="1:22" ht="60">
      <c r="A81" s="12">
        <v>4</v>
      </c>
      <c r="B81" s="92" t="s">
        <v>185</v>
      </c>
      <c r="C81" s="53" t="s">
        <v>186</v>
      </c>
      <c r="D81" s="12" t="s">
        <v>26</v>
      </c>
      <c r="E81" s="53" t="s">
        <v>187</v>
      </c>
      <c r="F81" s="53" t="s">
        <v>188</v>
      </c>
      <c r="G81" s="54">
        <f t="shared" si="26"/>
        <v>2194687</v>
      </c>
      <c r="H81" s="56"/>
      <c r="I81" s="55"/>
      <c r="J81" s="56"/>
      <c r="K81" s="56">
        <v>2194687</v>
      </c>
      <c r="L81" s="56">
        <v>19821.829000000002</v>
      </c>
      <c r="M81" s="57">
        <f t="shared" si="27"/>
        <v>685</v>
      </c>
      <c r="N81" s="55">
        <v>0</v>
      </c>
      <c r="O81" s="55">
        <v>0</v>
      </c>
      <c r="P81" s="55">
        <v>0</v>
      </c>
      <c r="Q81" s="55"/>
      <c r="R81" s="55"/>
      <c r="S81" s="57">
        <v>685</v>
      </c>
      <c r="T81" s="37"/>
      <c r="V81" s="6">
        <f t="shared" si="7"/>
        <v>0</v>
      </c>
    </row>
    <row r="82" spans="1:22" ht="30">
      <c r="A82" s="12">
        <v>5</v>
      </c>
      <c r="B82" s="88" t="s">
        <v>189</v>
      </c>
      <c r="C82" s="53" t="s">
        <v>165</v>
      </c>
      <c r="D82" s="53" t="s">
        <v>22</v>
      </c>
      <c r="E82" s="53" t="s">
        <v>190</v>
      </c>
      <c r="F82" s="53" t="s">
        <v>191</v>
      </c>
      <c r="G82" s="54">
        <f t="shared" si="26"/>
        <v>1851064</v>
      </c>
      <c r="H82" s="89">
        <v>1851064</v>
      </c>
      <c r="I82" s="55"/>
      <c r="J82" s="89"/>
      <c r="K82" s="89"/>
      <c r="L82" s="89">
        <v>1746599</v>
      </c>
      <c r="M82" s="57">
        <f t="shared" si="27"/>
        <v>6323</v>
      </c>
      <c r="N82" s="55"/>
      <c r="O82" s="55"/>
      <c r="P82" s="55"/>
      <c r="Q82" s="55"/>
      <c r="R82" s="90"/>
      <c r="S82" s="91">
        <v>6323</v>
      </c>
      <c r="T82" s="37"/>
      <c r="V82" s="6">
        <f t="shared" si="7"/>
        <v>0</v>
      </c>
    </row>
    <row r="83" spans="1:22" ht="27.75" customHeight="1">
      <c r="A83" s="12">
        <v>6</v>
      </c>
      <c r="B83" s="88" t="s">
        <v>192</v>
      </c>
      <c r="C83" s="53" t="s">
        <v>193</v>
      </c>
      <c r="D83" s="53" t="s">
        <v>26</v>
      </c>
      <c r="E83" s="53" t="s">
        <v>194</v>
      </c>
      <c r="F83" s="53" t="s">
        <v>195</v>
      </c>
      <c r="G83" s="54">
        <f t="shared" si="26"/>
        <v>120676</v>
      </c>
      <c r="H83" s="55"/>
      <c r="I83" s="55"/>
      <c r="J83" s="89"/>
      <c r="K83" s="89">
        <v>120676</v>
      </c>
      <c r="L83" s="89">
        <v>170298</v>
      </c>
      <c r="M83" s="57">
        <f t="shared" si="27"/>
        <v>21399</v>
      </c>
      <c r="N83" s="55"/>
      <c r="O83" s="55"/>
      <c r="P83" s="55"/>
      <c r="Q83" s="55"/>
      <c r="R83" s="90"/>
      <c r="S83" s="91">
        <f>21495-96</f>
        <v>21399</v>
      </c>
      <c r="T83" s="37"/>
      <c r="V83" s="6">
        <f t="shared" si="7"/>
        <v>0</v>
      </c>
    </row>
    <row r="84" spans="1:22" ht="30">
      <c r="A84" s="12">
        <v>7</v>
      </c>
      <c r="B84" s="88" t="s">
        <v>196</v>
      </c>
      <c r="C84" s="53" t="s">
        <v>58</v>
      </c>
      <c r="D84" s="53" t="s">
        <v>26</v>
      </c>
      <c r="E84" s="53" t="s">
        <v>197</v>
      </c>
      <c r="F84" s="53" t="s">
        <v>198</v>
      </c>
      <c r="G84" s="54">
        <f t="shared" si="26"/>
        <v>1097218</v>
      </c>
      <c r="H84" s="89">
        <v>766613</v>
      </c>
      <c r="I84" s="55"/>
      <c r="J84" s="89"/>
      <c r="K84" s="89">
        <v>330605</v>
      </c>
      <c r="L84" s="89">
        <v>1048239</v>
      </c>
      <c r="M84" s="57">
        <f t="shared" si="27"/>
        <v>2924</v>
      </c>
      <c r="N84" s="55"/>
      <c r="O84" s="55"/>
      <c r="P84" s="55"/>
      <c r="Q84" s="55"/>
      <c r="R84" s="90"/>
      <c r="S84" s="91">
        <v>2924</v>
      </c>
      <c r="T84" s="37"/>
      <c r="V84" s="6">
        <f t="shared" ref="V84:V147" si="28">G84-H84-I84-J84-K84</f>
        <v>0</v>
      </c>
    </row>
    <row r="85" spans="1:22" ht="60">
      <c r="A85" s="12">
        <v>8</v>
      </c>
      <c r="B85" s="88" t="s">
        <v>199</v>
      </c>
      <c r="C85" s="53" t="s">
        <v>200</v>
      </c>
      <c r="D85" s="53" t="s">
        <v>26</v>
      </c>
      <c r="E85" s="53" t="s">
        <v>201</v>
      </c>
      <c r="F85" s="53" t="s">
        <v>202</v>
      </c>
      <c r="G85" s="54">
        <f t="shared" si="26"/>
        <v>607850</v>
      </c>
      <c r="H85" s="89">
        <v>469831</v>
      </c>
      <c r="I85" s="55"/>
      <c r="J85" s="89"/>
      <c r="K85" s="89">
        <v>138019</v>
      </c>
      <c r="L85" s="89">
        <v>578309</v>
      </c>
      <c r="M85" s="57">
        <f t="shared" si="27"/>
        <v>3314</v>
      </c>
      <c r="N85" s="55"/>
      <c r="O85" s="55"/>
      <c r="P85" s="55"/>
      <c r="Q85" s="55"/>
      <c r="R85" s="90"/>
      <c r="S85" s="91">
        <v>3314</v>
      </c>
      <c r="T85" s="37"/>
      <c r="V85" s="6">
        <f t="shared" si="28"/>
        <v>0</v>
      </c>
    </row>
    <row r="86" spans="1:22" ht="30">
      <c r="A86" s="12">
        <v>9</v>
      </c>
      <c r="B86" s="88" t="s">
        <v>203</v>
      </c>
      <c r="C86" s="53" t="s">
        <v>52</v>
      </c>
      <c r="D86" s="53" t="s">
        <v>26</v>
      </c>
      <c r="E86" s="53" t="s">
        <v>204</v>
      </c>
      <c r="F86" s="53" t="s">
        <v>205</v>
      </c>
      <c r="G86" s="54">
        <f t="shared" si="26"/>
        <v>41910</v>
      </c>
      <c r="H86" s="55"/>
      <c r="I86" s="55"/>
      <c r="J86" s="89"/>
      <c r="K86" s="89">
        <v>41910</v>
      </c>
      <c r="L86" s="89">
        <v>41766</v>
      </c>
      <c r="M86" s="57">
        <f t="shared" si="27"/>
        <v>56</v>
      </c>
      <c r="N86" s="55"/>
      <c r="O86" s="55"/>
      <c r="P86" s="55"/>
      <c r="Q86" s="55"/>
      <c r="R86" s="90"/>
      <c r="S86" s="91">
        <v>56</v>
      </c>
      <c r="T86" s="37"/>
      <c r="V86" s="6">
        <f t="shared" si="28"/>
        <v>0</v>
      </c>
    </row>
    <row r="87" spans="1:22" ht="60">
      <c r="A87" s="12">
        <v>10</v>
      </c>
      <c r="B87" s="88" t="s">
        <v>206</v>
      </c>
      <c r="C87" s="53" t="s">
        <v>207</v>
      </c>
      <c r="D87" s="53" t="s">
        <v>26</v>
      </c>
      <c r="E87" s="53" t="s">
        <v>208</v>
      </c>
      <c r="F87" s="53" t="s">
        <v>209</v>
      </c>
      <c r="G87" s="54">
        <v>73311.456000000006</v>
      </c>
      <c r="H87" s="55">
        <v>73311.456000000006</v>
      </c>
      <c r="I87" s="55"/>
      <c r="J87" s="89"/>
      <c r="K87" s="89"/>
      <c r="L87" s="89">
        <v>67585.218487999999</v>
      </c>
      <c r="M87" s="57">
        <f t="shared" si="27"/>
        <v>7</v>
      </c>
      <c r="N87" s="55"/>
      <c r="O87" s="55"/>
      <c r="P87" s="55"/>
      <c r="Q87" s="55"/>
      <c r="R87" s="90"/>
      <c r="S87" s="91">
        <v>7</v>
      </c>
      <c r="T87" s="37"/>
      <c r="V87" s="6">
        <f t="shared" si="28"/>
        <v>0</v>
      </c>
    </row>
    <row r="88" spans="1:22" ht="30">
      <c r="A88" s="12">
        <v>11</v>
      </c>
      <c r="B88" s="72" t="s">
        <v>210</v>
      </c>
      <c r="C88" s="53" t="s">
        <v>58</v>
      </c>
      <c r="D88" s="40" t="s">
        <v>31</v>
      </c>
      <c r="E88" s="53" t="s">
        <v>80</v>
      </c>
      <c r="F88" s="53" t="s">
        <v>211</v>
      </c>
      <c r="G88" s="93">
        <v>43361</v>
      </c>
      <c r="H88" s="55"/>
      <c r="I88" s="55"/>
      <c r="J88" s="89"/>
      <c r="K88" s="93">
        <v>43361</v>
      </c>
      <c r="L88" s="93">
        <v>43297</v>
      </c>
      <c r="M88" s="57">
        <f t="shared" si="27"/>
        <v>134</v>
      </c>
      <c r="N88" s="55"/>
      <c r="O88" s="55"/>
      <c r="P88" s="55"/>
      <c r="Q88" s="55"/>
      <c r="R88" s="90"/>
      <c r="S88" s="91">
        <v>134</v>
      </c>
      <c r="T88" s="94" t="s">
        <v>212</v>
      </c>
      <c r="V88" s="6">
        <f t="shared" si="28"/>
        <v>0</v>
      </c>
    </row>
    <row r="89" spans="1:22" ht="75">
      <c r="A89" s="12">
        <v>12</v>
      </c>
      <c r="B89" s="72" t="s">
        <v>213</v>
      </c>
      <c r="C89" s="53" t="s">
        <v>92</v>
      </c>
      <c r="D89" s="40" t="s">
        <v>26</v>
      </c>
      <c r="E89" s="53" t="s">
        <v>214</v>
      </c>
      <c r="F89" s="53" t="s">
        <v>215</v>
      </c>
      <c r="G89" s="93">
        <v>139610</v>
      </c>
      <c r="H89" s="55">
        <v>83000</v>
      </c>
      <c r="I89" s="55"/>
      <c r="J89" s="89"/>
      <c r="K89" s="93">
        <v>56610</v>
      </c>
      <c r="L89" s="95">
        <f>105311+300</f>
        <v>105611</v>
      </c>
      <c r="M89" s="57">
        <f t="shared" si="27"/>
        <v>2503</v>
      </c>
      <c r="N89" s="55"/>
      <c r="O89" s="55"/>
      <c r="P89" s="55"/>
      <c r="Q89" s="55"/>
      <c r="R89" s="90"/>
      <c r="S89" s="91">
        <v>2503</v>
      </c>
      <c r="T89" s="94" t="s">
        <v>216</v>
      </c>
      <c r="V89" s="6">
        <f t="shared" si="28"/>
        <v>0</v>
      </c>
    </row>
    <row r="90" spans="1:22" ht="30">
      <c r="A90" s="12">
        <v>13</v>
      </c>
      <c r="B90" s="88" t="s">
        <v>217</v>
      </c>
      <c r="C90" s="53" t="s">
        <v>46</v>
      </c>
      <c r="D90" s="53" t="s">
        <v>26</v>
      </c>
      <c r="E90" s="53" t="s">
        <v>218</v>
      </c>
      <c r="F90" s="53" t="s">
        <v>219</v>
      </c>
      <c r="G90" s="54">
        <f t="shared" si="26"/>
        <v>110684</v>
      </c>
      <c r="H90" s="55"/>
      <c r="I90" s="55"/>
      <c r="J90" s="89"/>
      <c r="K90" s="89">
        <v>110684</v>
      </c>
      <c r="L90" s="89">
        <v>99055</v>
      </c>
      <c r="M90" s="57">
        <f t="shared" si="27"/>
        <v>1600</v>
      </c>
      <c r="N90" s="55"/>
      <c r="O90" s="55"/>
      <c r="P90" s="55"/>
      <c r="Q90" s="55"/>
      <c r="R90" s="90"/>
      <c r="S90" s="91">
        <f>5000-3400</f>
        <v>1600</v>
      </c>
      <c r="T90" s="37"/>
      <c r="V90" s="6">
        <f t="shared" si="28"/>
        <v>0</v>
      </c>
    </row>
    <row r="91" spans="1:22" ht="30">
      <c r="A91" s="12">
        <v>14</v>
      </c>
      <c r="B91" s="96" t="s">
        <v>220</v>
      </c>
      <c r="C91" s="97" t="s">
        <v>64</v>
      </c>
      <c r="D91" s="53" t="s">
        <v>31</v>
      </c>
      <c r="E91" s="53" t="s">
        <v>221</v>
      </c>
      <c r="F91" s="97" t="s">
        <v>222</v>
      </c>
      <c r="G91" s="54">
        <f t="shared" si="26"/>
        <v>15201</v>
      </c>
      <c r="H91" s="55"/>
      <c r="I91" s="55"/>
      <c r="J91" s="89"/>
      <c r="K91" s="89">
        <v>15201</v>
      </c>
      <c r="L91" s="89">
        <v>15201</v>
      </c>
      <c r="M91" s="57">
        <f t="shared" si="27"/>
        <v>40</v>
      </c>
      <c r="N91" s="55"/>
      <c r="O91" s="55"/>
      <c r="P91" s="55"/>
      <c r="Q91" s="55"/>
      <c r="R91" s="90"/>
      <c r="S91" s="91">
        <v>40</v>
      </c>
      <c r="T91" s="37"/>
      <c r="V91" s="6">
        <f t="shared" si="28"/>
        <v>0</v>
      </c>
    </row>
    <row r="92" spans="1:22" ht="30">
      <c r="A92" s="12">
        <v>15</v>
      </c>
      <c r="B92" s="96" t="s">
        <v>223</v>
      </c>
      <c r="C92" s="97" t="s">
        <v>52</v>
      </c>
      <c r="D92" s="53" t="s">
        <v>31</v>
      </c>
      <c r="E92" s="53" t="s">
        <v>194</v>
      </c>
      <c r="F92" s="97" t="s">
        <v>224</v>
      </c>
      <c r="G92" s="54">
        <f t="shared" si="26"/>
        <v>41910</v>
      </c>
      <c r="H92" s="55"/>
      <c r="I92" s="55"/>
      <c r="J92" s="89"/>
      <c r="K92" s="89">
        <v>41910</v>
      </c>
      <c r="L92" s="89">
        <v>41855</v>
      </c>
      <c r="M92" s="57">
        <f t="shared" si="27"/>
        <v>56</v>
      </c>
      <c r="N92" s="55"/>
      <c r="O92" s="55"/>
      <c r="P92" s="55"/>
      <c r="Q92" s="55"/>
      <c r="R92" s="90"/>
      <c r="S92" s="91">
        <v>56</v>
      </c>
      <c r="T92" s="37"/>
      <c r="V92" s="6">
        <f t="shared" si="28"/>
        <v>0</v>
      </c>
    </row>
    <row r="93" spans="1:22" ht="13.9" customHeight="1">
      <c r="A93" s="46" t="s">
        <v>82</v>
      </c>
      <c r="B93" s="47" t="s">
        <v>225</v>
      </c>
      <c r="C93" s="29"/>
      <c r="D93" s="29"/>
      <c r="E93" s="29"/>
      <c r="F93" s="29"/>
      <c r="G93" s="58">
        <f t="shared" ref="G93:S93" si="29">SUM(G94:G106)</f>
        <v>3008273</v>
      </c>
      <c r="H93" s="58">
        <f t="shared" si="29"/>
        <v>2113157</v>
      </c>
      <c r="I93" s="58">
        <f t="shared" si="29"/>
        <v>0</v>
      </c>
      <c r="J93" s="58">
        <f t="shared" si="29"/>
        <v>0</v>
      </c>
      <c r="K93" s="58">
        <f t="shared" si="29"/>
        <v>895116</v>
      </c>
      <c r="L93" s="58">
        <f t="shared" si="29"/>
        <v>1993829</v>
      </c>
      <c r="M93" s="48">
        <f t="shared" si="29"/>
        <v>881174</v>
      </c>
      <c r="N93" s="49">
        <f t="shared" si="29"/>
        <v>254193</v>
      </c>
      <c r="O93" s="49">
        <f t="shared" si="29"/>
        <v>0</v>
      </c>
      <c r="P93" s="49">
        <f t="shared" si="29"/>
        <v>0</v>
      </c>
      <c r="Q93" s="49">
        <f t="shared" si="29"/>
        <v>0</v>
      </c>
      <c r="R93" s="49">
        <f t="shared" si="29"/>
        <v>0</v>
      </c>
      <c r="S93" s="48">
        <f t="shared" si="29"/>
        <v>626981</v>
      </c>
      <c r="T93" s="37"/>
      <c r="V93" s="6">
        <f t="shared" si="28"/>
        <v>0</v>
      </c>
    </row>
    <row r="94" spans="1:22" ht="60">
      <c r="A94" s="12">
        <v>1</v>
      </c>
      <c r="B94" s="72" t="s">
        <v>226</v>
      </c>
      <c r="C94" s="40" t="s">
        <v>92</v>
      </c>
      <c r="D94" s="40" t="s">
        <v>26</v>
      </c>
      <c r="E94" s="53" t="s">
        <v>227</v>
      </c>
      <c r="F94" s="53" t="s">
        <v>228</v>
      </c>
      <c r="G94" s="54">
        <f>SUM(H94:K94)</f>
        <v>114478</v>
      </c>
      <c r="H94" s="98">
        <v>80300</v>
      </c>
      <c r="I94" s="99"/>
      <c r="J94" s="99"/>
      <c r="K94" s="99">
        <v>34178</v>
      </c>
      <c r="L94" s="98">
        <v>80300</v>
      </c>
      <c r="M94" s="57">
        <f>SUM(N94:S94)</f>
        <v>6300</v>
      </c>
      <c r="N94" s="100"/>
      <c r="O94" s="55"/>
      <c r="P94" s="55"/>
      <c r="Q94" s="55"/>
      <c r="R94" s="100"/>
      <c r="S94" s="101">
        <v>6300</v>
      </c>
      <c r="T94" s="37"/>
      <c r="V94" s="6">
        <f t="shared" si="28"/>
        <v>0</v>
      </c>
    </row>
    <row r="95" spans="1:22" ht="90">
      <c r="A95" s="53">
        <v>2</v>
      </c>
      <c r="B95" s="59" t="s">
        <v>229</v>
      </c>
      <c r="C95" s="53" t="s">
        <v>165</v>
      </c>
      <c r="D95" s="53" t="s">
        <v>31</v>
      </c>
      <c r="E95" s="53" t="s">
        <v>230</v>
      </c>
      <c r="F95" s="53" t="s">
        <v>231</v>
      </c>
      <c r="G95" s="54">
        <f t="shared" ref="G95:G106" si="30">SUM(H95:K95)</f>
        <v>25744</v>
      </c>
      <c r="H95" s="60"/>
      <c r="I95" s="60"/>
      <c r="J95" s="60"/>
      <c r="K95" s="60">
        <v>25744</v>
      </c>
      <c r="L95" s="102">
        <v>15996</v>
      </c>
      <c r="M95" s="57">
        <f t="shared" ref="M95:M106" si="31">SUM(N95:S95)</f>
        <v>63644</v>
      </c>
      <c r="N95" s="61"/>
      <c r="O95" s="61"/>
      <c r="P95" s="61"/>
      <c r="Q95" s="61"/>
      <c r="R95" s="61"/>
      <c r="S95" s="103">
        <f>9286+54358</f>
        <v>63644</v>
      </c>
      <c r="T95" s="37"/>
      <c r="V95" s="6">
        <f t="shared" si="28"/>
        <v>0</v>
      </c>
    </row>
    <row r="96" spans="1:22" ht="90">
      <c r="A96" s="12">
        <v>3</v>
      </c>
      <c r="B96" s="104" t="s">
        <v>232</v>
      </c>
      <c r="C96" s="105" t="s">
        <v>233</v>
      </c>
      <c r="D96" s="105" t="s">
        <v>31</v>
      </c>
      <c r="E96" s="105" t="s">
        <v>214</v>
      </c>
      <c r="F96" s="105" t="s">
        <v>234</v>
      </c>
      <c r="G96" s="54">
        <f t="shared" si="30"/>
        <v>20345</v>
      </c>
      <c r="H96" s="106"/>
      <c r="I96" s="106"/>
      <c r="J96" s="106"/>
      <c r="K96" s="102">
        <v>20345</v>
      </c>
      <c r="L96" s="102">
        <f>8212+10148</f>
        <v>18360</v>
      </c>
      <c r="M96" s="57">
        <f t="shared" si="31"/>
        <v>1985</v>
      </c>
      <c r="N96" s="102"/>
      <c r="O96" s="102"/>
      <c r="P96" s="102"/>
      <c r="Q96" s="102"/>
      <c r="R96" s="102"/>
      <c r="S96" s="103">
        <v>1985</v>
      </c>
      <c r="T96" s="37"/>
      <c r="V96" s="6">
        <f t="shared" si="28"/>
        <v>0</v>
      </c>
    </row>
    <row r="97" spans="1:22" ht="75">
      <c r="A97" s="12">
        <v>4</v>
      </c>
      <c r="B97" s="104" t="s">
        <v>235</v>
      </c>
      <c r="C97" s="105" t="s">
        <v>92</v>
      </c>
      <c r="D97" s="105" t="s">
        <v>26</v>
      </c>
      <c r="E97" s="105" t="s">
        <v>227</v>
      </c>
      <c r="F97" s="105" t="s">
        <v>236</v>
      </c>
      <c r="G97" s="54">
        <f t="shared" si="30"/>
        <v>137185</v>
      </c>
      <c r="H97" s="106">
        <v>100000</v>
      </c>
      <c r="I97" s="106"/>
      <c r="J97" s="106"/>
      <c r="K97" s="102">
        <v>37185</v>
      </c>
      <c r="L97" s="102">
        <v>73350</v>
      </c>
      <c r="M97" s="57">
        <f t="shared" si="31"/>
        <v>63835</v>
      </c>
      <c r="N97" s="102">
        <v>52000</v>
      </c>
      <c r="O97" s="102"/>
      <c r="P97" s="102"/>
      <c r="Q97" s="102"/>
      <c r="R97" s="102"/>
      <c r="S97" s="103">
        <v>11835</v>
      </c>
      <c r="T97" s="37"/>
      <c r="V97" s="6">
        <f t="shared" si="28"/>
        <v>0</v>
      </c>
    </row>
    <row r="98" spans="1:22" ht="30">
      <c r="A98" s="12">
        <v>5</v>
      </c>
      <c r="B98" s="59" t="s">
        <v>237</v>
      </c>
      <c r="C98" s="53" t="s">
        <v>46</v>
      </c>
      <c r="D98" s="53" t="s">
        <v>31</v>
      </c>
      <c r="E98" s="53" t="s">
        <v>238</v>
      </c>
      <c r="F98" s="53" t="s">
        <v>239</v>
      </c>
      <c r="G98" s="54">
        <f t="shared" si="30"/>
        <v>62728</v>
      </c>
      <c r="H98" s="60"/>
      <c r="I98" s="60"/>
      <c r="J98" s="60"/>
      <c r="K98" s="60">
        <v>62728</v>
      </c>
      <c r="L98" s="60">
        <v>9500</v>
      </c>
      <c r="M98" s="57">
        <f t="shared" si="31"/>
        <v>52769</v>
      </c>
      <c r="N98" s="61"/>
      <c r="O98" s="61"/>
      <c r="P98" s="61"/>
      <c r="Q98" s="61"/>
      <c r="R98" s="61"/>
      <c r="S98" s="103">
        <v>52769</v>
      </c>
      <c r="T98" s="37"/>
      <c r="V98" s="6">
        <f t="shared" si="28"/>
        <v>0</v>
      </c>
    </row>
    <row r="99" spans="1:22" ht="105">
      <c r="A99" s="53">
        <v>6</v>
      </c>
      <c r="B99" s="92" t="s">
        <v>240</v>
      </c>
      <c r="C99" s="53" t="s">
        <v>241</v>
      </c>
      <c r="D99" s="53" t="s">
        <v>26</v>
      </c>
      <c r="E99" s="53" t="s">
        <v>242</v>
      </c>
      <c r="F99" s="15" t="s">
        <v>243</v>
      </c>
      <c r="G99" s="54">
        <f t="shared" si="30"/>
        <v>1494617</v>
      </c>
      <c r="H99" s="56">
        <v>1494617</v>
      </c>
      <c r="I99" s="55">
        <v>0</v>
      </c>
      <c r="J99" s="56"/>
      <c r="K99" s="56"/>
      <c r="L99" s="56">
        <v>1343037</v>
      </c>
      <c r="M99" s="57">
        <f t="shared" si="31"/>
        <v>15700</v>
      </c>
      <c r="N99" s="55">
        <v>0</v>
      </c>
      <c r="O99" s="55">
        <v>0</v>
      </c>
      <c r="P99" s="55">
        <v>0</v>
      </c>
      <c r="Q99" s="55"/>
      <c r="R99" s="55"/>
      <c r="S99" s="57">
        <f>147580-123983-7897</f>
        <v>15700</v>
      </c>
      <c r="T99" s="37"/>
      <c r="V99" s="6">
        <f t="shared" si="28"/>
        <v>0</v>
      </c>
    </row>
    <row r="100" spans="1:22" ht="90">
      <c r="A100" s="12">
        <v>7</v>
      </c>
      <c r="B100" s="72" t="s">
        <v>244</v>
      </c>
      <c r="C100" s="53" t="s">
        <v>126</v>
      </c>
      <c r="D100" s="53" t="s">
        <v>26</v>
      </c>
      <c r="E100" s="53" t="s">
        <v>245</v>
      </c>
      <c r="F100" s="424" t="s">
        <v>246</v>
      </c>
      <c r="G100" s="108">
        <v>324246</v>
      </c>
      <c r="H100" s="109">
        <v>208240</v>
      </c>
      <c r="I100" s="54"/>
      <c r="J100" s="54"/>
      <c r="K100" s="54">
        <v>116006</v>
      </c>
      <c r="L100" s="60">
        <v>25000</v>
      </c>
      <c r="M100" s="57">
        <f>SUM(N100:S100)</f>
        <v>299245</v>
      </c>
      <c r="N100" s="66">
        <v>183240</v>
      </c>
      <c r="O100" s="66"/>
      <c r="P100" s="66"/>
      <c r="Q100" s="66"/>
      <c r="R100" s="66"/>
      <c r="S100" s="67">
        <f>123983-7978</f>
        <v>116005</v>
      </c>
      <c r="T100" s="110" t="s">
        <v>247</v>
      </c>
      <c r="V100" s="6">
        <f t="shared" si="28"/>
        <v>0</v>
      </c>
    </row>
    <row r="101" spans="1:22" ht="45">
      <c r="A101" s="53">
        <v>8</v>
      </c>
      <c r="B101" s="92" t="s">
        <v>248</v>
      </c>
      <c r="C101" s="53" t="s">
        <v>52</v>
      </c>
      <c r="D101" s="12" t="s">
        <v>26</v>
      </c>
      <c r="E101" s="53" t="s">
        <v>105</v>
      </c>
      <c r="F101" s="53" t="s">
        <v>249</v>
      </c>
      <c r="G101" s="54">
        <f t="shared" si="30"/>
        <v>450000</v>
      </c>
      <c r="H101" s="56">
        <v>150000</v>
      </c>
      <c r="I101" s="56">
        <v>0</v>
      </c>
      <c r="J101" s="56"/>
      <c r="K101" s="56">
        <v>300000</v>
      </c>
      <c r="L101" s="56">
        <v>286978</v>
      </c>
      <c r="M101" s="57">
        <f t="shared" si="31"/>
        <v>144723</v>
      </c>
      <c r="N101" s="55">
        <v>0</v>
      </c>
      <c r="O101" s="55">
        <v>0</v>
      </c>
      <c r="P101" s="55">
        <v>0</v>
      </c>
      <c r="Q101" s="55"/>
      <c r="R101" s="55"/>
      <c r="S101" s="57">
        <f>163021-2264-16034</f>
        <v>144723</v>
      </c>
      <c r="T101" s="37"/>
      <c r="V101" s="6">
        <f t="shared" si="28"/>
        <v>0</v>
      </c>
    </row>
    <row r="102" spans="1:22" ht="45">
      <c r="A102" s="12">
        <v>9</v>
      </c>
      <c r="B102" s="72" t="s">
        <v>250</v>
      </c>
      <c r="C102" s="40" t="s">
        <v>58</v>
      </c>
      <c r="D102" s="32" t="s">
        <v>31</v>
      </c>
      <c r="E102" s="53" t="s">
        <v>59</v>
      </c>
      <c r="F102" s="53" t="s">
        <v>251</v>
      </c>
      <c r="G102" s="54">
        <f t="shared" si="30"/>
        <v>33933</v>
      </c>
      <c r="H102" s="99"/>
      <c r="I102" s="56"/>
      <c r="J102" s="99"/>
      <c r="K102" s="99">
        <v>33933</v>
      </c>
      <c r="L102" s="98">
        <v>10200</v>
      </c>
      <c r="M102" s="57">
        <f t="shared" si="31"/>
        <v>23000</v>
      </c>
      <c r="N102" s="55"/>
      <c r="O102" s="55"/>
      <c r="P102" s="55"/>
      <c r="Q102" s="55"/>
      <c r="R102" s="55"/>
      <c r="S102" s="57">
        <v>23000</v>
      </c>
      <c r="T102" s="37"/>
      <c r="V102" s="6">
        <f t="shared" si="28"/>
        <v>0</v>
      </c>
    </row>
    <row r="103" spans="1:22" ht="27.75" customHeight="1">
      <c r="A103" s="53">
        <v>10</v>
      </c>
      <c r="B103" s="59" t="s">
        <v>252</v>
      </c>
      <c r="C103" s="40" t="s">
        <v>58</v>
      </c>
      <c r="D103" s="32" t="s">
        <v>26</v>
      </c>
      <c r="E103" s="32" t="s">
        <v>214</v>
      </c>
      <c r="F103" s="142" t="s">
        <v>253</v>
      </c>
      <c r="G103" s="54">
        <f t="shared" si="30"/>
        <v>104999</v>
      </c>
      <c r="H103" s="112">
        <v>80000</v>
      </c>
      <c r="I103" s="112"/>
      <c r="J103" s="112"/>
      <c r="K103" s="112">
        <v>24999</v>
      </c>
      <c r="L103" s="60">
        <v>64300</v>
      </c>
      <c r="M103" s="57">
        <f t="shared" si="31"/>
        <v>36824</v>
      </c>
      <c r="N103" s="66">
        <v>18953</v>
      </c>
      <c r="O103" s="66"/>
      <c r="P103" s="66"/>
      <c r="Q103" s="66"/>
      <c r="R103" s="66"/>
      <c r="S103" s="67">
        <f>8000+9871</f>
        <v>17871</v>
      </c>
      <c r="T103" s="37"/>
      <c r="V103" s="6">
        <f t="shared" si="28"/>
        <v>0</v>
      </c>
    </row>
    <row r="104" spans="1:22" ht="30">
      <c r="A104" s="53">
        <v>11</v>
      </c>
      <c r="B104" s="72" t="s">
        <v>254</v>
      </c>
      <c r="C104" s="40" t="s">
        <v>46</v>
      </c>
      <c r="D104" s="40" t="s">
        <v>31</v>
      </c>
      <c r="E104" s="53" t="s">
        <v>238</v>
      </c>
      <c r="F104" s="53" t="s">
        <v>255</v>
      </c>
      <c r="G104" s="54">
        <f t="shared" si="30"/>
        <v>57682</v>
      </c>
      <c r="H104" s="98"/>
      <c r="I104" s="98"/>
      <c r="J104" s="98"/>
      <c r="K104" s="98">
        <v>57682</v>
      </c>
      <c r="L104" s="113">
        <v>22200</v>
      </c>
      <c r="M104" s="57">
        <f t="shared" si="31"/>
        <v>35400</v>
      </c>
      <c r="N104" s="114"/>
      <c r="O104" s="114"/>
      <c r="P104" s="114"/>
      <c r="Q104" s="114"/>
      <c r="R104" s="114"/>
      <c r="S104" s="115">
        <v>35400</v>
      </c>
      <c r="T104" s="37"/>
      <c r="V104" s="6">
        <f t="shared" si="28"/>
        <v>0</v>
      </c>
    </row>
    <row r="105" spans="1:22" ht="45">
      <c r="A105" s="53">
        <v>12</v>
      </c>
      <c r="B105" s="59" t="s">
        <v>256</v>
      </c>
      <c r="C105" s="40" t="s">
        <v>52</v>
      </c>
      <c r="D105" s="40" t="s">
        <v>31</v>
      </c>
      <c r="E105" s="53" t="s">
        <v>105</v>
      </c>
      <c r="F105" s="116" t="s">
        <v>257</v>
      </c>
      <c r="G105" s="54">
        <f t="shared" si="30"/>
        <v>120483</v>
      </c>
      <c r="H105" s="98"/>
      <c r="I105" s="98"/>
      <c r="J105" s="98"/>
      <c r="K105" s="117">
        <v>120483</v>
      </c>
      <c r="L105" s="113">
        <v>19458</v>
      </c>
      <c r="M105" s="57">
        <f t="shared" si="31"/>
        <v>101066</v>
      </c>
      <c r="N105" s="114"/>
      <c r="O105" s="114"/>
      <c r="P105" s="114"/>
      <c r="Q105" s="114"/>
      <c r="R105" s="114"/>
      <c r="S105" s="115">
        <f>58000+43066</f>
        <v>101066</v>
      </c>
      <c r="T105" s="37"/>
      <c r="V105" s="6">
        <f t="shared" si="28"/>
        <v>0</v>
      </c>
    </row>
    <row r="106" spans="1:22" ht="30">
      <c r="A106" s="12">
        <v>13</v>
      </c>
      <c r="B106" s="92" t="s">
        <v>258</v>
      </c>
      <c r="C106" s="53" t="s">
        <v>40</v>
      </c>
      <c r="D106" s="12" t="s">
        <v>31</v>
      </c>
      <c r="E106" s="53" t="s">
        <v>59</v>
      </c>
      <c r="F106" s="53" t="s">
        <v>259</v>
      </c>
      <c r="G106" s="54">
        <f t="shared" si="30"/>
        <v>61833</v>
      </c>
      <c r="H106" s="56"/>
      <c r="I106" s="56"/>
      <c r="J106" s="56"/>
      <c r="K106" s="56">
        <v>61833</v>
      </c>
      <c r="L106" s="56">
        <v>25150</v>
      </c>
      <c r="M106" s="57">
        <f t="shared" si="31"/>
        <v>36683</v>
      </c>
      <c r="N106" s="55"/>
      <c r="O106" s="55"/>
      <c r="P106" s="55"/>
      <c r="Q106" s="55"/>
      <c r="R106" s="55"/>
      <c r="S106" s="57">
        <v>36683</v>
      </c>
      <c r="T106" s="37"/>
      <c r="V106" s="6">
        <f t="shared" si="28"/>
        <v>0</v>
      </c>
    </row>
    <row r="107" spans="1:22">
      <c r="A107" s="46" t="s">
        <v>102</v>
      </c>
      <c r="B107" s="47" t="s">
        <v>103</v>
      </c>
      <c r="C107" s="29"/>
      <c r="D107" s="29"/>
      <c r="E107" s="29"/>
      <c r="F107" s="28">
        <f t="shared" ref="F107:T107" si="32">SUM(F108:F128)</f>
        <v>0</v>
      </c>
      <c r="G107" s="28">
        <f t="shared" si="32"/>
        <v>27681309</v>
      </c>
      <c r="H107" s="28">
        <f t="shared" si="32"/>
        <v>20175734</v>
      </c>
      <c r="I107" s="28">
        <f t="shared" si="32"/>
        <v>0</v>
      </c>
      <c r="J107" s="28">
        <f t="shared" si="32"/>
        <v>0</v>
      </c>
      <c r="K107" s="28">
        <f t="shared" si="32"/>
        <v>7505575</v>
      </c>
      <c r="L107" s="28">
        <f t="shared" si="32"/>
        <v>350</v>
      </c>
      <c r="M107" s="28">
        <f t="shared" si="32"/>
        <v>17948713</v>
      </c>
      <c r="N107" s="36">
        <f t="shared" si="32"/>
        <v>11579637</v>
      </c>
      <c r="O107" s="36">
        <f t="shared" si="32"/>
        <v>0</v>
      </c>
      <c r="P107" s="36">
        <f t="shared" si="32"/>
        <v>0</v>
      </c>
      <c r="Q107" s="36">
        <f t="shared" si="32"/>
        <v>368195</v>
      </c>
      <c r="R107" s="36">
        <f t="shared" si="32"/>
        <v>0</v>
      </c>
      <c r="S107" s="28">
        <f t="shared" si="32"/>
        <v>6000881</v>
      </c>
      <c r="T107" s="70">
        <f t="shared" si="32"/>
        <v>0</v>
      </c>
      <c r="V107" s="6">
        <f t="shared" si="28"/>
        <v>0</v>
      </c>
    </row>
    <row r="108" spans="1:22" ht="75">
      <c r="A108" s="53">
        <v>1</v>
      </c>
      <c r="B108" s="72" t="s">
        <v>260</v>
      </c>
      <c r="C108" s="40" t="s">
        <v>64</v>
      </c>
      <c r="D108" s="40" t="s">
        <v>31</v>
      </c>
      <c r="E108" s="53" t="s">
        <v>109</v>
      </c>
      <c r="F108" s="107" t="s">
        <v>261</v>
      </c>
      <c r="G108" s="54">
        <f>SUM(H108:K108)</f>
        <v>45181</v>
      </c>
      <c r="H108" s="98"/>
      <c r="I108" s="98"/>
      <c r="J108" s="98"/>
      <c r="K108" s="98">
        <v>45181</v>
      </c>
      <c r="L108" s="113"/>
      <c r="M108" s="57">
        <f t="shared" ref="M108:M125" si="33">SUM(N108:S108)</f>
        <v>45181</v>
      </c>
      <c r="N108" s="114"/>
      <c r="O108" s="114"/>
      <c r="P108" s="114"/>
      <c r="Q108" s="114"/>
      <c r="R108" s="114"/>
      <c r="S108" s="115">
        <f>42917+2264</f>
        <v>45181</v>
      </c>
      <c r="T108" s="110" t="s">
        <v>262</v>
      </c>
      <c r="V108" s="6">
        <f t="shared" si="28"/>
        <v>0</v>
      </c>
    </row>
    <row r="109" spans="1:22" ht="30">
      <c r="A109" s="53">
        <v>2</v>
      </c>
      <c r="B109" s="72" t="s">
        <v>263</v>
      </c>
      <c r="C109" s="40" t="s">
        <v>123</v>
      </c>
      <c r="D109" s="40" t="s">
        <v>26</v>
      </c>
      <c r="E109" s="53" t="s">
        <v>149</v>
      </c>
      <c r="F109" s="53" t="s">
        <v>264</v>
      </c>
      <c r="G109" s="54">
        <f>SUM(H109:K109)</f>
        <v>137371</v>
      </c>
      <c r="H109" s="98"/>
      <c r="I109" s="98"/>
      <c r="J109" s="98"/>
      <c r="K109" s="98">
        <v>137371</v>
      </c>
      <c r="L109" s="113"/>
      <c r="M109" s="57">
        <f t="shared" si="33"/>
        <v>137161</v>
      </c>
      <c r="N109" s="114"/>
      <c r="O109" s="114"/>
      <c r="P109" s="114"/>
      <c r="Q109" s="114"/>
      <c r="R109" s="114"/>
      <c r="S109" s="115">
        <v>137161</v>
      </c>
      <c r="T109" s="37"/>
      <c r="V109" s="6">
        <f t="shared" si="28"/>
        <v>0</v>
      </c>
    </row>
    <row r="110" spans="1:22" ht="60">
      <c r="A110" s="53">
        <v>3</v>
      </c>
      <c r="B110" s="72" t="s">
        <v>125</v>
      </c>
      <c r="C110" s="40" t="s">
        <v>126</v>
      </c>
      <c r="D110" s="40" t="s">
        <v>26</v>
      </c>
      <c r="E110" s="53" t="s">
        <v>149</v>
      </c>
      <c r="F110" s="119" t="s">
        <v>265</v>
      </c>
      <c r="G110" s="481">
        <v>1240726</v>
      </c>
      <c r="H110" s="482">
        <v>561000</v>
      </c>
      <c r="I110" s="482"/>
      <c r="J110" s="482"/>
      <c r="K110" s="482">
        <v>679726</v>
      </c>
      <c r="L110" s="113"/>
      <c r="M110" s="57">
        <f t="shared" si="33"/>
        <v>1241556</v>
      </c>
      <c r="N110" s="114">
        <v>561000</v>
      </c>
      <c r="O110" s="114"/>
      <c r="P110" s="114"/>
      <c r="Q110" s="114"/>
      <c r="R110" s="114"/>
      <c r="S110" s="101">
        <f>433415+247141</f>
        <v>680556</v>
      </c>
      <c r="T110" s="37"/>
      <c r="V110" s="6">
        <f t="shared" si="28"/>
        <v>0</v>
      </c>
    </row>
    <row r="111" spans="1:22" ht="60">
      <c r="A111" s="53">
        <v>4</v>
      </c>
      <c r="B111" s="72" t="s">
        <v>128</v>
      </c>
      <c r="C111" s="40" t="s">
        <v>129</v>
      </c>
      <c r="D111" s="40" t="s">
        <v>26</v>
      </c>
      <c r="E111" s="53" t="s">
        <v>149</v>
      </c>
      <c r="F111" s="53" t="s">
        <v>266</v>
      </c>
      <c r="G111" s="54">
        <v>952441</v>
      </c>
      <c r="H111" s="98">
        <v>608000</v>
      </c>
      <c r="I111" s="98"/>
      <c r="J111" s="98"/>
      <c r="K111" s="98">
        <v>344441</v>
      </c>
      <c r="L111" s="113"/>
      <c r="M111" s="57">
        <f t="shared" si="33"/>
        <v>951641</v>
      </c>
      <c r="N111" s="114">
        <v>608000</v>
      </c>
      <c r="O111" s="114"/>
      <c r="P111" s="114"/>
      <c r="Q111" s="114"/>
      <c r="R111" s="114"/>
      <c r="S111" s="101">
        <f>263287-800+81154</f>
        <v>343641</v>
      </c>
      <c r="T111" s="37"/>
      <c r="V111" s="6">
        <f t="shared" si="28"/>
        <v>0</v>
      </c>
    </row>
    <row r="112" spans="1:22" ht="60">
      <c r="A112" s="53">
        <v>5</v>
      </c>
      <c r="B112" s="72" t="s">
        <v>131</v>
      </c>
      <c r="C112" s="40" t="s">
        <v>126</v>
      </c>
      <c r="D112" s="40" t="s">
        <v>26</v>
      </c>
      <c r="E112" s="53" t="s">
        <v>149</v>
      </c>
      <c r="F112" s="53" t="s">
        <v>267</v>
      </c>
      <c r="G112" s="54">
        <v>877891</v>
      </c>
      <c r="H112" s="98">
        <v>562974</v>
      </c>
      <c r="I112" s="98"/>
      <c r="J112" s="98"/>
      <c r="K112" s="98">
        <f>G112-H112</f>
        <v>314917</v>
      </c>
      <c r="L112" s="113"/>
      <c r="M112" s="57">
        <f t="shared" si="33"/>
        <v>876941</v>
      </c>
      <c r="N112" s="114">
        <f>656178-93204</f>
        <v>562974</v>
      </c>
      <c r="O112" s="114"/>
      <c r="P112" s="114"/>
      <c r="Q112" s="114"/>
      <c r="R112" s="114"/>
      <c r="S112" s="101">
        <f>43947+92204+177816</f>
        <v>313967</v>
      </c>
      <c r="T112" s="37"/>
      <c r="V112" s="6">
        <f t="shared" si="28"/>
        <v>0</v>
      </c>
    </row>
    <row r="113" spans="1:22" ht="75">
      <c r="A113" s="53">
        <v>6</v>
      </c>
      <c r="B113" s="72" t="s">
        <v>268</v>
      </c>
      <c r="C113" s="40" t="s">
        <v>269</v>
      </c>
      <c r="D113" s="40" t="s">
        <v>22</v>
      </c>
      <c r="E113" s="53" t="s">
        <v>160</v>
      </c>
      <c r="F113" s="53" t="s">
        <v>270</v>
      </c>
      <c r="G113" s="54">
        <v>3837742</v>
      </c>
      <c r="H113" s="98">
        <v>2000000</v>
      </c>
      <c r="I113" s="98"/>
      <c r="J113" s="98"/>
      <c r="K113" s="118">
        <v>1837742</v>
      </c>
      <c r="L113" s="113"/>
      <c r="M113" s="57">
        <f t="shared" si="33"/>
        <v>3392000</v>
      </c>
      <c r="N113" s="114">
        <v>2000000</v>
      </c>
      <c r="O113" s="114"/>
      <c r="P113" s="114"/>
      <c r="Q113" s="114"/>
      <c r="R113" s="114"/>
      <c r="S113" s="101">
        <v>1392000</v>
      </c>
      <c r="T113" s="37"/>
      <c r="V113" s="6">
        <f t="shared" si="28"/>
        <v>0</v>
      </c>
    </row>
    <row r="114" spans="1:22" ht="60">
      <c r="A114" s="53">
        <v>7</v>
      </c>
      <c r="B114" s="72" t="s">
        <v>271</v>
      </c>
      <c r="C114" s="40" t="s">
        <v>272</v>
      </c>
      <c r="D114" s="40" t="s">
        <v>26</v>
      </c>
      <c r="E114" s="53" t="s">
        <v>149</v>
      </c>
      <c r="F114" s="53" t="s">
        <v>273</v>
      </c>
      <c r="G114" s="54">
        <v>1035611</v>
      </c>
      <c r="H114" s="113">
        <v>525663</v>
      </c>
      <c r="I114" s="98"/>
      <c r="J114" s="98"/>
      <c r="K114" s="98">
        <v>509948</v>
      </c>
      <c r="L114" s="113"/>
      <c r="M114" s="57">
        <f t="shared" si="33"/>
        <v>1032647</v>
      </c>
      <c r="N114" s="114">
        <v>525663</v>
      </c>
      <c r="O114" s="114"/>
      <c r="P114" s="114"/>
      <c r="Q114" s="114"/>
      <c r="R114" s="114"/>
      <c r="S114" s="101">
        <f>49783+457201</f>
        <v>506984</v>
      </c>
      <c r="T114" s="37"/>
      <c r="V114" s="6">
        <f t="shared" si="28"/>
        <v>0</v>
      </c>
    </row>
    <row r="115" spans="1:22" ht="45">
      <c r="A115" s="53">
        <v>8</v>
      </c>
      <c r="B115" s="72" t="s">
        <v>274</v>
      </c>
      <c r="C115" s="40" t="s">
        <v>275</v>
      </c>
      <c r="D115" s="40" t="s">
        <v>22</v>
      </c>
      <c r="E115" s="53" t="s">
        <v>115</v>
      </c>
      <c r="F115" s="119" t="s">
        <v>276</v>
      </c>
      <c r="G115" s="54">
        <f>SUM(H115:K115)</f>
        <v>9725097</v>
      </c>
      <c r="H115" s="98">
        <v>8725097</v>
      </c>
      <c r="I115" s="98"/>
      <c r="J115" s="98"/>
      <c r="K115" s="98">
        <v>1000000</v>
      </c>
      <c r="L115" s="113"/>
      <c r="M115" s="57">
        <f t="shared" si="33"/>
        <v>4787000</v>
      </c>
      <c r="N115" s="114">
        <f>837000+3250000</f>
        <v>4087000</v>
      </c>
      <c r="O115" s="114"/>
      <c r="P115" s="114"/>
      <c r="Q115" s="114"/>
      <c r="R115" s="114"/>
      <c r="S115" s="101">
        <f>1000000-300000</f>
        <v>700000</v>
      </c>
      <c r="T115" s="37"/>
      <c r="V115" s="6">
        <f t="shared" si="28"/>
        <v>0</v>
      </c>
    </row>
    <row r="116" spans="1:22" ht="30">
      <c r="A116" s="53">
        <v>9</v>
      </c>
      <c r="B116" s="72" t="s">
        <v>172</v>
      </c>
      <c r="C116" s="40" t="s">
        <v>46</v>
      </c>
      <c r="D116" s="40" t="s">
        <v>26</v>
      </c>
      <c r="E116" s="40" t="s">
        <v>112</v>
      </c>
      <c r="F116" s="157" t="s">
        <v>277</v>
      </c>
      <c r="G116" s="483">
        <v>384614</v>
      </c>
      <c r="H116" s="98"/>
      <c r="I116" s="98"/>
      <c r="J116" s="98"/>
      <c r="K116" s="483">
        <v>384614</v>
      </c>
      <c r="L116" s="113"/>
      <c r="M116" s="57">
        <f t="shared" si="33"/>
        <v>381548</v>
      </c>
      <c r="N116" s="114"/>
      <c r="O116" s="114"/>
      <c r="P116" s="114"/>
      <c r="Q116" s="114">
        <v>50000</v>
      </c>
      <c r="R116" s="114"/>
      <c r="S116" s="101">
        <f>120000+261548-50000</f>
        <v>331548</v>
      </c>
      <c r="T116" s="37"/>
      <c r="V116" s="6">
        <f t="shared" si="28"/>
        <v>0</v>
      </c>
    </row>
    <row r="117" spans="1:22" ht="30">
      <c r="A117" s="53">
        <v>10</v>
      </c>
      <c r="B117" s="72" t="s">
        <v>174</v>
      </c>
      <c r="C117" s="40" t="s">
        <v>46</v>
      </c>
      <c r="D117" s="40" t="s">
        <v>26</v>
      </c>
      <c r="E117" s="40" t="s">
        <v>112</v>
      </c>
      <c r="F117" s="157" t="s">
        <v>278</v>
      </c>
      <c r="G117" s="483">
        <v>172413</v>
      </c>
      <c r="H117" s="98"/>
      <c r="I117" s="98"/>
      <c r="J117" s="98"/>
      <c r="K117" s="483">
        <v>172413</v>
      </c>
      <c r="L117" s="113"/>
      <c r="M117" s="57">
        <f t="shared" si="33"/>
        <v>171009</v>
      </c>
      <c r="N117" s="114"/>
      <c r="O117" s="114"/>
      <c r="P117" s="114"/>
      <c r="Q117" s="114"/>
      <c r="R117" s="114"/>
      <c r="S117" s="101">
        <f>60000+111009</f>
        <v>171009</v>
      </c>
      <c r="T117" s="37"/>
      <c r="V117" s="6">
        <f t="shared" si="28"/>
        <v>0</v>
      </c>
    </row>
    <row r="118" spans="1:22" ht="30">
      <c r="A118" s="53">
        <v>11</v>
      </c>
      <c r="B118" s="72" t="s">
        <v>279</v>
      </c>
      <c r="C118" s="40" t="s">
        <v>52</v>
      </c>
      <c r="D118" s="40" t="s">
        <v>26</v>
      </c>
      <c r="E118" s="53" t="s">
        <v>149</v>
      </c>
      <c r="F118" s="53" t="s">
        <v>280</v>
      </c>
      <c r="G118" s="67">
        <f t="shared" ref="G118:G119" si="34">SUM(H118:K118)</f>
        <v>208045</v>
      </c>
      <c r="H118" s="98"/>
      <c r="I118" s="98"/>
      <c r="J118" s="98"/>
      <c r="K118" s="67">
        <v>208045</v>
      </c>
      <c r="L118" s="113"/>
      <c r="M118" s="57">
        <f t="shared" si="33"/>
        <v>224365</v>
      </c>
      <c r="N118" s="114"/>
      <c r="O118" s="114"/>
      <c r="P118" s="114"/>
      <c r="Q118" s="114"/>
      <c r="R118" s="114"/>
      <c r="S118" s="101">
        <f>207322+17043</f>
        <v>224365</v>
      </c>
      <c r="T118" s="37"/>
      <c r="V118" s="6">
        <f t="shared" si="28"/>
        <v>0</v>
      </c>
    </row>
    <row r="119" spans="1:22" ht="30">
      <c r="A119" s="53">
        <v>12</v>
      </c>
      <c r="B119" s="72" t="s">
        <v>281</v>
      </c>
      <c r="C119" s="40" t="s">
        <v>123</v>
      </c>
      <c r="D119" s="40" t="s">
        <v>26</v>
      </c>
      <c r="E119" s="53" t="s">
        <v>149</v>
      </c>
      <c r="F119" s="53" t="s">
        <v>282</v>
      </c>
      <c r="G119" s="67">
        <f t="shared" si="34"/>
        <v>165604</v>
      </c>
      <c r="H119" s="98"/>
      <c r="I119" s="98"/>
      <c r="J119" s="98"/>
      <c r="K119" s="98">
        <v>165604</v>
      </c>
      <c r="L119" s="113"/>
      <c r="M119" s="57">
        <f t="shared" si="33"/>
        <v>129420</v>
      </c>
      <c r="N119" s="114"/>
      <c r="O119" s="114"/>
      <c r="P119" s="114"/>
      <c r="Q119" s="114"/>
      <c r="R119" s="114"/>
      <c r="S119" s="101">
        <f>165054-23655-11979</f>
        <v>129420</v>
      </c>
      <c r="T119" s="37"/>
      <c r="V119" s="6">
        <f t="shared" si="28"/>
        <v>0</v>
      </c>
    </row>
    <row r="120" spans="1:22" ht="30">
      <c r="A120" s="53">
        <v>13</v>
      </c>
      <c r="B120" s="72" t="s">
        <v>138</v>
      </c>
      <c r="C120" s="40" t="s">
        <v>136</v>
      </c>
      <c r="D120" s="40" t="s">
        <v>31</v>
      </c>
      <c r="E120" s="53" t="s">
        <v>283</v>
      </c>
      <c r="F120" s="53" t="s">
        <v>284</v>
      </c>
      <c r="G120" s="54">
        <v>24304</v>
      </c>
      <c r="H120" s="98"/>
      <c r="I120" s="98"/>
      <c r="J120" s="98"/>
      <c r="K120" s="54">
        <v>24304</v>
      </c>
      <c r="L120" s="113"/>
      <c r="M120" s="57">
        <f t="shared" si="33"/>
        <v>24690</v>
      </c>
      <c r="N120" s="114"/>
      <c r="O120" s="114"/>
      <c r="P120" s="114"/>
      <c r="Q120" s="114"/>
      <c r="R120" s="114"/>
      <c r="S120" s="101">
        <v>24690</v>
      </c>
      <c r="T120" s="37"/>
      <c r="V120" s="6">
        <f t="shared" si="28"/>
        <v>0</v>
      </c>
    </row>
    <row r="121" spans="1:22" ht="60">
      <c r="A121" s="53">
        <v>14</v>
      </c>
      <c r="B121" s="72" t="s">
        <v>145</v>
      </c>
      <c r="C121" s="40" t="s">
        <v>136</v>
      </c>
      <c r="D121" s="40" t="s">
        <v>31</v>
      </c>
      <c r="E121" s="53" t="s">
        <v>109</v>
      </c>
      <c r="F121" s="107" t="s">
        <v>285</v>
      </c>
      <c r="G121" s="118">
        <v>14458</v>
      </c>
      <c r="H121" s="98"/>
      <c r="I121" s="98"/>
      <c r="J121" s="98"/>
      <c r="K121" s="118">
        <v>14458</v>
      </c>
      <c r="L121" s="113"/>
      <c r="M121" s="57">
        <f t="shared" si="33"/>
        <v>14338</v>
      </c>
      <c r="N121" s="114"/>
      <c r="O121" s="114"/>
      <c r="P121" s="114"/>
      <c r="Q121" s="114"/>
      <c r="R121" s="114"/>
      <c r="S121" s="101">
        <f>15704-1366</f>
        <v>14338</v>
      </c>
      <c r="T121" s="37"/>
      <c r="V121" s="6">
        <f t="shared" si="28"/>
        <v>0</v>
      </c>
    </row>
    <row r="122" spans="1:22" ht="75">
      <c r="A122" s="53">
        <v>15</v>
      </c>
      <c r="B122" s="72" t="s">
        <v>286</v>
      </c>
      <c r="C122" s="40" t="s">
        <v>136</v>
      </c>
      <c r="D122" s="40" t="s">
        <v>31</v>
      </c>
      <c r="E122" s="53" t="s">
        <v>109</v>
      </c>
      <c r="F122" s="53" t="s">
        <v>287</v>
      </c>
      <c r="G122" s="67">
        <v>49948</v>
      </c>
      <c r="H122" s="101"/>
      <c r="I122" s="101"/>
      <c r="J122" s="101"/>
      <c r="K122" s="101">
        <v>49948</v>
      </c>
      <c r="L122" s="113"/>
      <c r="M122" s="57">
        <f t="shared" si="33"/>
        <v>49450</v>
      </c>
      <c r="N122" s="114"/>
      <c r="O122" s="114"/>
      <c r="P122" s="114"/>
      <c r="Q122" s="114"/>
      <c r="R122" s="114"/>
      <c r="S122" s="101">
        <v>49450</v>
      </c>
      <c r="T122" s="37"/>
      <c r="V122" s="6">
        <f t="shared" si="28"/>
        <v>0</v>
      </c>
    </row>
    <row r="123" spans="1:22" ht="81" customHeight="1">
      <c r="A123" s="53">
        <v>16</v>
      </c>
      <c r="B123" s="72" t="s">
        <v>288</v>
      </c>
      <c r="C123" s="40" t="s">
        <v>136</v>
      </c>
      <c r="D123" s="40" t="s">
        <v>31</v>
      </c>
      <c r="E123" s="53" t="s">
        <v>109</v>
      </c>
      <c r="F123" s="120" t="s">
        <v>289</v>
      </c>
      <c r="G123" s="121">
        <v>18841</v>
      </c>
      <c r="H123" s="98"/>
      <c r="I123" s="98"/>
      <c r="J123" s="98"/>
      <c r="K123" s="121">
        <v>18841</v>
      </c>
      <c r="L123" s="113">
        <v>350</v>
      </c>
      <c r="M123" s="57">
        <f t="shared" si="33"/>
        <v>18550</v>
      </c>
      <c r="N123" s="114"/>
      <c r="O123" s="114"/>
      <c r="P123" s="114"/>
      <c r="Q123" s="114"/>
      <c r="R123" s="114"/>
      <c r="S123" s="101">
        <v>18550</v>
      </c>
      <c r="T123" s="37"/>
      <c r="V123" s="6">
        <f t="shared" si="28"/>
        <v>0</v>
      </c>
    </row>
    <row r="124" spans="1:22" ht="45">
      <c r="A124" s="53">
        <v>17</v>
      </c>
      <c r="B124" s="59" t="s">
        <v>290</v>
      </c>
      <c r="C124" s="40" t="s">
        <v>92</v>
      </c>
      <c r="D124" s="40" t="s">
        <v>26</v>
      </c>
      <c r="E124" s="53" t="s">
        <v>115</v>
      </c>
      <c r="F124" s="53" t="s">
        <v>291</v>
      </c>
      <c r="G124" s="67">
        <f t="shared" ref="G124" si="35">SUM(H124:K124)</f>
        <v>312338</v>
      </c>
      <c r="H124" s="67"/>
      <c r="I124" s="14"/>
      <c r="J124" s="14"/>
      <c r="K124" s="101">
        <v>312338</v>
      </c>
      <c r="L124" s="113"/>
      <c r="M124" s="57">
        <f t="shared" si="33"/>
        <v>0</v>
      </c>
      <c r="N124" s="114"/>
      <c r="O124" s="114"/>
      <c r="P124" s="114"/>
      <c r="Q124" s="114"/>
      <c r="R124" s="114"/>
      <c r="S124" s="101">
        <f>311490-300000-11490</f>
        <v>0</v>
      </c>
      <c r="T124" s="37"/>
      <c r="V124" s="6">
        <f t="shared" si="28"/>
        <v>0</v>
      </c>
    </row>
    <row r="125" spans="1:22" ht="30">
      <c r="A125" s="53">
        <v>18</v>
      </c>
      <c r="B125" s="72" t="s">
        <v>170</v>
      </c>
      <c r="C125" s="53" t="s">
        <v>40</v>
      </c>
      <c r="D125" s="40" t="s">
        <v>26</v>
      </c>
      <c r="E125" s="53" t="s">
        <v>115</v>
      </c>
      <c r="F125" s="53" t="s">
        <v>292</v>
      </c>
      <c r="G125" s="54">
        <v>1196005</v>
      </c>
      <c r="H125" s="98"/>
      <c r="I125" s="98"/>
      <c r="J125" s="98"/>
      <c r="K125" s="98">
        <v>1196005</v>
      </c>
      <c r="L125" s="113"/>
      <c r="M125" s="57">
        <f t="shared" si="33"/>
        <v>1193205</v>
      </c>
      <c r="N125" s="114"/>
      <c r="O125" s="114"/>
      <c r="P125" s="114"/>
      <c r="Q125" s="114">
        <v>318195</v>
      </c>
      <c r="R125" s="114"/>
      <c r="S125" s="122">
        <f>1193205-318195</f>
        <v>875010</v>
      </c>
      <c r="T125" s="37"/>
      <c r="V125" s="6">
        <f t="shared" si="28"/>
        <v>0</v>
      </c>
    </row>
    <row r="126" spans="1:22" ht="60">
      <c r="A126" s="53">
        <v>19</v>
      </c>
      <c r="B126" s="72" t="s">
        <v>293</v>
      </c>
      <c r="C126" s="40" t="s">
        <v>136</v>
      </c>
      <c r="D126" s="40" t="s">
        <v>31</v>
      </c>
      <c r="E126" s="53" t="s">
        <v>283</v>
      </c>
      <c r="F126" s="157" t="s">
        <v>294</v>
      </c>
      <c r="G126" s="484">
        <v>33391</v>
      </c>
      <c r="H126" s="58"/>
      <c r="I126" s="58"/>
      <c r="J126" s="58"/>
      <c r="K126" s="484">
        <v>33391</v>
      </c>
      <c r="L126" s="113"/>
      <c r="M126" s="57">
        <f t="shared" ref="M126:M128" si="36">SUM(N126:S126)</f>
        <v>33011</v>
      </c>
      <c r="N126" s="114"/>
      <c r="O126" s="114"/>
      <c r="P126" s="114"/>
      <c r="Q126" s="114"/>
      <c r="R126" s="114"/>
      <c r="S126" s="101">
        <v>33011</v>
      </c>
      <c r="T126" s="37"/>
      <c r="V126" s="6">
        <f t="shared" si="28"/>
        <v>0</v>
      </c>
    </row>
    <row r="127" spans="1:22" ht="75">
      <c r="A127" s="53">
        <v>20</v>
      </c>
      <c r="B127" s="59" t="s">
        <v>295</v>
      </c>
      <c r="C127" s="40" t="s">
        <v>64</v>
      </c>
      <c r="D127" s="53" t="s">
        <v>31</v>
      </c>
      <c r="E127" s="53" t="s">
        <v>283</v>
      </c>
      <c r="F127" s="15" t="s">
        <v>296</v>
      </c>
      <c r="G127" s="485">
        <v>11458</v>
      </c>
      <c r="H127" s="86"/>
      <c r="I127" s="24"/>
      <c r="J127" s="24"/>
      <c r="K127" s="485">
        <v>11458</v>
      </c>
      <c r="L127" s="113"/>
      <c r="M127" s="57">
        <f t="shared" si="36"/>
        <v>10000</v>
      </c>
      <c r="N127" s="114"/>
      <c r="O127" s="114"/>
      <c r="P127" s="114"/>
      <c r="Q127" s="114"/>
      <c r="R127" s="114"/>
      <c r="S127" s="101">
        <v>10000</v>
      </c>
      <c r="T127" s="37"/>
      <c r="V127" s="6">
        <f t="shared" si="28"/>
        <v>0</v>
      </c>
    </row>
    <row r="128" spans="1:22" ht="30">
      <c r="A128" s="53">
        <v>21</v>
      </c>
      <c r="B128" s="59" t="s">
        <v>164</v>
      </c>
      <c r="C128" s="40" t="s">
        <v>297</v>
      </c>
      <c r="D128" s="53" t="s">
        <v>22</v>
      </c>
      <c r="E128" s="53" t="s">
        <v>298</v>
      </c>
      <c r="F128" s="119" t="s">
        <v>299</v>
      </c>
      <c r="G128" s="486">
        <v>7237830</v>
      </c>
      <c r="H128" s="67">
        <v>7193000</v>
      </c>
      <c r="I128" s="54"/>
      <c r="J128" s="54"/>
      <c r="K128" s="101">
        <f>G128-H128</f>
        <v>44830</v>
      </c>
      <c r="L128" s="113"/>
      <c r="M128" s="57">
        <f t="shared" si="36"/>
        <v>3235000</v>
      </c>
      <c r="N128" s="114">
        <v>3235000</v>
      </c>
      <c r="O128" s="114"/>
      <c r="P128" s="114"/>
      <c r="Q128" s="114"/>
      <c r="R128" s="114"/>
      <c r="S128" s="101"/>
      <c r="T128" s="37"/>
      <c r="V128" s="6">
        <f t="shared" si="28"/>
        <v>0</v>
      </c>
    </row>
    <row r="129" spans="1:22">
      <c r="A129" s="199" t="s">
        <v>300</v>
      </c>
      <c r="B129" s="47" t="s">
        <v>301</v>
      </c>
      <c r="C129" s="29"/>
      <c r="D129" s="29"/>
      <c r="E129" s="29"/>
      <c r="F129" s="58">
        <f t="shared" ref="F129:T129" si="37">F130+F143</f>
        <v>0</v>
      </c>
      <c r="G129" s="58">
        <f t="shared" si="37"/>
        <v>3982570</v>
      </c>
      <c r="H129" s="58">
        <f t="shared" si="37"/>
        <v>583113</v>
      </c>
      <c r="I129" s="58">
        <f t="shared" si="37"/>
        <v>1407115</v>
      </c>
      <c r="J129" s="58">
        <f t="shared" si="37"/>
        <v>0</v>
      </c>
      <c r="K129" s="58">
        <f t="shared" si="37"/>
        <v>1992342</v>
      </c>
      <c r="L129" s="58">
        <f t="shared" si="37"/>
        <v>1814847.1740580001</v>
      </c>
      <c r="M129" s="48">
        <f t="shared" si="37"/>
        <v>1754226</v>
      </c>
      <c r="N129" s="49">
        <f t="shared" si="37"/>
        <v>158000</v>
      </c>
      <c r="O129" s="49">
        <f t="shared" si="37"/>
        <v>1174452</v>
      </c>
      <c r="P129" s="49">
        <f t="shared" si="37"/>
        <v>0</v>
      </c>
      <c r="Q129" s="49">
        <f t="shared" si="37"/>
        <v>0</v>
      </c>
      <c r="R129" s="49">
        <f t="shared" si="37"/>
        <v>0</v>
      </c>
      <c r="S129" s="48">
        <f t="shared" si="37"/>
        <v>421774</v>
      </c>
      <c r="T129" s="50">
        <f t="shared" si="37"/>
        <v>0</v>
      </c>
      <c r="V129" s="6">
        <f t="shared" si="28"/>
        <v>0</v>
      </c>
    </row>
    <row r="130" spans="1:22">
      <c r="A130" s="199" t="s">
        <v>37</v>
      </c>
      <c r="B130" s="47" t="s">
        <v>38</v>
      </c>
      <c r="C130" s="29"/>
      <c r="D130" s="29"/>
      <c r="E130" s="29"/>
      <c r="F130" s="479"/>
      <c r="G130" s="58">
        <f>SUM(G131:G142)</f>
        <v>8705</v>
      </c>
      <c r="H130" s="58">
        <f t="shared" ref="H130:T130" si="38">SUM(H131:H142)</f>
        <v>0</v>
      </c>
      <c r="I130" s="58">
        <f t="shared" si="38"/>
        <v>0</v>
      </c>
      <c r="J130" s="58">
        <f t="shared" si="38"/>
        <v>0</v>
      </c>
      <c r="K130" s="58">
        <f t="shared" si="38"/>
        <v>8705</v>
      </c>
      <c r="L130" s="58">
        <f t="shared" si="38"/>
        <v>0</v>
      </c>
      <c r="M130" s="48">
        <f t="shared" si="38"/>
        <v>6976</v>
      </c>
      <c r="N130" s="49">
        <f t="shared" si="38"/>
        <v>0</v>
      </c>
      <c r="O130" s="49">
        <f t="shared" si="38"/>
        <v>0</v>
      </c>
      <c r="P130" s="49">
        <f t="shared" si="38"/>
        <v>0</v>
      </c>
      <c r="Q130" s="49">
        <f t="shared" si="38"/>
        <v>0</v>
      </c>
      <c r="R130" s="49">
        <f t="shared" si="38"/>
        <v>0</v>
      </c>
      <c r="S130" s="48">
        <f t="shared" si="38"/>
        <v>6976</v>
      </c>
      <c r="T130" s="50">
        <f t="shared" si="38"/>
        <v>0</v>
      </c>
      <c r="V130" s="6">
        <f t="shared" si="28"/>
        <v>0</v>
      </c>
    </row>
    <row r="131" spans="1:22" ht="30">
      <c r="A131" s="30">
        <v>1</v>
      </c>
      <c r="B131" s="59" t="s">
        <v>302</v>
      </c>
      <c r="C131" s="40" t="s">
        <v>40</v>
      </c>
      <c r="D131" s="29"/>
      <c r="E131" s="32" t="s">
        <v>41</v>
      </c>
      <c r="F131" s="53" t="s">
        <v>303</v>
      </c>
      <c r="G131" s="67">
        <f>SUM(H131:K131)</f>
        <v>327</v>
      </c>
      <c r="H131" s="67"/>
      <c r="I131" s="14"/>
      <c r="J131" s="14"/>
      <c r="K131" s="67">
        <v>327</v>
      </c>
      <c r="L131" s="58"/>
      <c r="M131" s="19">
        <f>SUM(N131:S131)</f>
        <v>290</v>
      </c>
      <c r="N131" s="49"/>
      <c r="O131" s="49"/>
      <c r="P131" s="49"/>
      <c r="Q131" s="49"/>
      <c r="R131" s="49"/>
      <c r="S131" s="19">
        <v>290</v>
      </c>
      <c r="T131" s="50"/>
      <c r="V131" s="6">
        <f t="shared" si="28"/>
        <v>0</v>
      </c>
    </row>
    <row r="132" spans="1:22" ht="30">
      <c r="A132" s="30">
        <v>2</v>
      </c>
      <c r="B132" s="59" t="s">
        <v>304</v>
      </c>
      <c r="C132" s="40" t="s">
        <v>40</v>
      </c>
      <c r="D132" s="29"/>
      <c r="E132" s="32" t="s">
        <v>41</v>
      </c>
      <c r="F132" s="53" t="s">
        <v>305</v>
      </c>
      <c r="G132" s="67">
        <f t="shared" ref="G132:G142" si="39">SUM(H132:K132)</f>
        <v>565</v>
      </c>
      <c r="H132" s="67"/>
      <c r="I132" s="14"/>
      <c r="J132" s="14"/>
      <c r="K132" s="67">
        <v>565</v>
      </c>
      <c r="L132" s="58"/>
      <c r="M132" s="19">
        <f t="shared" ref="M132:M142" si="40">SUM(N132:S132)</f>
        <v>500</v>
      </c>
      <c r="N132" s="49"/>
      <c r="O132" s="49"/>
      <c r="P132" s="49"/>
      <c r="Q132" s="49"/>
      <c r="R132" s="49"/>
      <c r="S132" s="19">
        <v>500</v>
      </c>
      <c r="T132" s="50"/>
      <c r="V132" s="6">
        <f t="shared" si="28"/>
        <v>0</v>
      </c>
    </row>
    <row r="133" spans="1:22" ht="30">
      <c r="A133" s="30">
        <v>3</v>
      </c>
      <c r="B133" s="59" t="s">
        <v>306</v>
      </c>
      <c r="C133" s="40" t="s">
        <v>40</v>
      </c>
      <c r="D133" s="29"/>
      <c r="E133" s="32" t="s">
        <v>41</v>
      </c>
      <c r="F133" s="53" t="s">
        <v>307</v>
      </c>
      <c r="G133" s="67">
        <f t="shared" si="39"/>
        <v>811</v>
      </c>
      <c r="H133" s="67"/>
      <c r="I133" s="14"/>
      <c r="J133" s="14"/>
      <c r="K133" s="67">
        <v>811</v>
      </c>
      <c r="L133" s="58"/>
      <c r="M133" s="19">
        <f t="shared" si="40"/>
        <v>730</v>
      </c>
      <c r="N133" s="49"/>
      <c r="O133" s="49"/>
      <c r="P133" s="49"/>
      <c r="Q133" s="49"/>
      <c r="R133" s="49"/>
      <c r="S133" s="19">
        <v>730</v>
      </c>
      <c r="T133" s="50"/>
      <c r="V133" s="6">
        <f t="shared" si="28"/>
        <v>0</v>
      </c>
    </row>
    <row r="134" spans="1:22" ht="45">
      <c r="A134" s="30">
        <v>4</v>
      </c>
      <c r="B134" s="59" t="s">
        <v>308</v>
      </c>
      <c r="C134" s="40" t="s">
        <v>40</v>
      </c>
      <c r="D134" s="29"/>
      <c r="E134" s="32" t="s">
        <v>41</v>
      </c>
      <c r="F134" s="53" t="s">
        <v>309</v>
      </c>
      <c r="G134" s="67">
        <f t="shared" si="39"/>
        <v>137</v>
      </c>
      <c r="H134" s="67"/>
      <c r="I134" s="14"/>
      <c r="J134" s="14"/>
      <c r="K134" s="67">
        <v>137</v>
      </c>
      <c r="L134" s="58"/>
      <c r="M134" s="19">
        <f t="shared" si="40"/>
        <v>120</v>
      </c>
      <c r="N134" s="49"/>
      <c r="O134" s="49"/>
      <c r="P134" s="49"/>
      <c r="Q134" s="49"/>
      <c r="R134" s="49"/>
      <c r="S134" s="19">
        <v>120</v>
      </c>
      <c r="T134" s="50"/>
      <c r="V134" s="6">
        <f t="shared" si="28"/>
        <v>0</v>
      </c>
    </row>
    <row r="135" spans="1:22" ht="75">
      <c r="A135" s="30">
        <v>5</v>
      </c>
      <c r="B135" s="59" t="s">
        <v>310</v>
      </c>
      <c r="C135" s="40" t="s">
        <v>40</v>
      </c>
      <c r="D135" s="29"/>
      <c r="E135" s="32" t="s">
        <v>41</v>
      </c>
      <c r="F135" s="53" t="s">
        <v>311</v>
      </c>
      <c r="G135" s="67">
        <f t="shared" si="39"/>
        <v>720</v>
      </c>
      <c r="H135" s="67"/>
      <c r="I135" s="14"/>
      <c r="J135" s="14"/>
      <c r="K135" s="67">
        <v>720</v>
      </c>
      <c r="L135" s="58"/>
      <c r="M135" s="19">
        <f t="shared" si="40"/>
        <v>650</v>
      </c>
      <c r="N135" s="49"/>
      <c r="O135" s="49"/>
      <c r="P135" s="49"/>
      <c r="Q135" s="49"/>
      <c r="R135" s="49"/>
      <c r="S135" s="19">
        <v>650</v>
      </c>
      <c r="T135" s="50"/>
      <c r="V135" s="6">
        <f t="shared" si="28"/>
        <v>0</v>
      </c>
    </row>
    <row r="136" spans="1:22" ht="45">
      <c r="A136" s="30">
        <v>6</v>
      </c>
      <c r="B136" s="59" t="s">
        <v>312</v>
      </c>
      <c r="C136" s="40" t="s">
        <v>40</v>
      </c>
      <c r="D136" s="29"/>
      <c r="E136" s="32" t="s">
        <v>41</v>
      </c>
      <c r="F136" s="53" t="s">
        <v>313</v>
      </c>
      <c r="G136" s="67">
        <f t="shared" si="39"/>
        <v>107</v>
      </c>
      <c r="H136" s="67"/>
      <c r="I136" s="14"/>
      <c r="J136" s="14"/>
      <c r="K136" s="67">
        <v>107</v>
      </c>
      <c r="L136" s="58"/>
      <c r="M136" s="19">
        <f t="shared" si="40"/>
        <v>95</v>
      </c>
      <c r="N136" s="49"/>
      <c r="O136" s="49"/>
      <c r="P136" s="49"/>
      <c r="Q136" s="49"/>
      <c r="R136" s="49"/>
      <c r="S136" s="19">
        <v>95</v>
      </c>
      <c r="T136" s="50"/>
      <c r="V136" s="6">
        <f t="shared" si="28"/>
        <v>0</v>
      </c>
    </row>
    <row r="137" spans="1:22" ht="30">
      <c r="A137" s="30">
        <v>7</v>
      </c>
      <c r="B137" s="96" t="s">
        <v>314</v>
      </c>
      <c r="C137" s="40" t="s">
        <v>40</v>
      </c>
      <c r="D137" s="29"/>
      <c r="E137" s="32" t="s">
        <v>41</v>
      </c>
      <c r="F137" s="53" t="s">
        <v>315</v>
      </c>
      <c r="G137" s="67">
        <f t="shared" si="39"/>
        <v>1257</v>
      </c>
      <c r="H137" s="67"/>
      <c r="I137" s="14"/>
      <c r="J137" s="14"/>
      <c r="K137" s="67">
        <v>1257</v>
      </c>
      <c r="L137" s="58"/>
      <c r="M137" s="19">
        <f t="shared" si="40"/>
        <v>1100</v>
      </c>
      <c r="N137" s="49"/>
      <c r="O137" s="49"/>
      <c r="P137" s="49"/>
      <c r="Q137" s="49"/>
      <c r="R137" s="49"/>
      <c r="S137" s="19">
        <v>1100</v>
      </c>
      <c r="T137" s="50"/>
      <c r="V137" s="6">
        <f t="shared" si="28"/>
        <v>0</v>
      </c>
    </row>
    <row r="138" spans="1:22" ht="30">
      <c r="A138" s="30">
        <v>8</v>
      </c>
      <c r="B138" s="96" t="s">
        <v>316</v>
      </c>
      <c r="C138" s="40" t="s">
        <v>40</v>
      </c>
      <c r="D138" s="29"/>
      <c r="E138" s="32" t="s">
        <v>41</v>
      </c>
      <c r="F138" s="53" t="s">
        <v>317</v>
      </c>
      <c r="G138" s="67">
        <f t="shared" si="39"/>
        <v>1586</v>
      </c>
      <c r="H138" s="67"/>
      <c r="I138" s="14"/>
      <c r="J138" s="14"/>
      <c r="K138" s="67">
        <v>1586</v>
      </c>
      <c r="L138" s="58"/>
      <c r="M138" s="19">
        <f t="shared" si="40"/>
        <v>1400</v>
      </c>
      <c r="N138" s="49"/>
      <c r="O138" s="49"/>
      <c r="P138" s="49"/>
      <c r="Q138" s="49"/>
      <c r="R138" s="49"/>
      <c r="S138" s="19">
        <v>1400</v>
      </c>
      <c r="T138" s="50"/>
      <c r="V138" s="6">
        <f t="shared" si="28"/>
        <v>0</v>
      </c>
    </row>
    <row r="139" spans="1:22" ht="60">
      <c r="A139" s="30">
        <v>9</v>
      </c>
      <c r="B139" s="96" t="s">
        <v>318</v>
      </c>
      <c r="C139" s="40" t="s">
        <v>40</v>
      </c>
      <c r="D139" s="29"/>
      <c r="E139" s="32" t="s">
        <v>47</v>
      </c>
      <c r="F139" s="53" t="s">
        <v>319</v>
      </c>
      <c r="G139" s="67">
        <f t="shared" si="39"/>
        <v>992</v>
      </c>
      <c r="H139" s="67"/>
      <c r="I139" s="14"/>
      <c r="J139" s="14"/>
      <c r="K139" s="67">
        <v>992</v>
      </c>
      <c r="L139" s="58"/>
      <c r="M139" s="19">
        <f t="shared" si="40"/>
        <v>500</v>
      </c>
      <c r="N139" s="49"/>
      <c r="O139" s="49"/>
      <c r="P139" s="49"/>
      <c r="Q139" s="49"/>
      <c r="R139" s="49"/>
      <c r="S139" s="19">
        <v>500</v>
      </c>
      <c r="T139" s="50"/>
      <c r="V139" s="6">
        <f t="shared" si="28"/>
        <v>0</v>
      </c>
    </row>
    <row r="140" spans="1:22" ht="60">
      <c r="A140" s="30">
        <v>10</v>
      </c>
      <c r="B140" s="96" t="s">
        <v>320</v>
      </c>
      <c r="C140" s="40" t="s">
        <v>275</v>
      </c>
      <c r="D140" s="29"/>
      <c r="E140" s="32" t="s">
        <v>47</v>
      </c>
      <c r="F140" s="53" t="s">
        <v>321</v>
      </c>
      <c r="G140" s="67">
        <f t="shared" si="39"/>
        <v>1285</v>
      </c>
      <c r="H140" s="67"/>
      <c r="I140" s="14"/>
      <c r="J140" s="14"/>
      <c r="K140" s="67">
        <v>1285</v>
      </c>
      <c r="L140" s="58"/>
      <c r="M140" s="19">
        <f t="shared" si="40"/>
        <v>700</v>
      </c>
      <c r="N140" s="49"/>
      <c r="O140" s="49"/>
      <c r="P140" s="49"/>
      <c r="Q140" s="49"/>
      <c r="R140" s="49"/>
      <c r="S140" s="19">
        <v>700</v>
      </c>
      <c r="T140" s="50"/>
      <c r="V140" s="6">
        <f t="shared" si="28"/>
        <v>0</v>
      </c>
    </row>
    <row r="141" spans="1:22" ht="60">
      <c r="A141" s="30">
        <v>11</v>
      </c>
      <c r="B141" s="96" t="s">
        <v>322</v>
      </c>
      <c r="C141" s="40"/>
      <c r="D141" s="29"/>
      <c r="E141" s="32"/>
      <c r="F141" s="53" t="s">
        <v>323</v>
      </c>
      <c r="G141" s="67">
        <f t="shared" si="39"/>
        <v>681</v>
      </c>
      <c r="H141" s="67"/>
      <c r="I141" s="14"/>
      <c r="J141" s="14"/>
      <c r="K141" s="67">
        <v>681</v>
      </c>
      <c r="L141" s="58"/>
      <c r="M141" s="19">
        <f t="shared" si="40"/>
        <v>681</v>
      </c>
      <c r="N141" s="49"/>
      <c r="O141" s="49"/>
      <c r="P141" s="49"/>
      <c r="Q141" s="49"/>
      <c r="R141" s="49"/>
      <c r="S141" s="19">
        <v>681</v>
      </c>
      <c r="T141" s="50"/>
      <c r="V141" s="6">
        <f t="shared" si="28"/>
        <v>0</v>
      </c>
    </row>
    <row r="142" spans="1:22" ht="30">
      <c r="A142" s="30">
        <v>12</v>
      </c>
      <c r="B142" s="123" t="s">
        <v>324</v>
      </c>
      <c r="C142" s="40" t="s">
        <v>123</v>
      </c>
      <c r="D142" s="29"/>
      <c r="E142" s="32" t="s">
        <v>41</v>
      </c>
      <c r="F142" s="53" t="s">
        <v>325</v>
      </c>
      <c r="G142" s="67">
        <f t="shared" si="39"/>
        <v>237</v>
      </c>
      <c r="H142" s="67"/>
      <c r="I142" s="14"/>
      <c r="J142" s="14"/>
      <c r="K142" s="67">
        <v>237</v>
      </c>
      <c r="L142" s="58"/>
      <c r="M142" s="19">
        <f t="shared" si="40"/>
        <v>210</v>
      </c>
      <c r="N142" s="49"/>
      <c r="O142" s="49"/>
      <c r="P142" s="49"/>
      <c r="Q142" s="49"/>
      <c r="R142" s="49"/>
      <c r="S142" s="19">
        <v>210</v>
      </c>
      <c r="T142" s="50"/>
      <c r="V142" s="6">
        <f t="shared" si="28"/>
        <v>0</v>
      </c>
    </row>
    <row r="143" spans="1:22">
      <c r="A143" s="199" t="s">
        <v>69</v>
      </c>
      <c r="B143" s="47" t="s">
        <v>70</v>
      </c>
      <c r="C143" s="29"/>
      <c r="D143" s="29"/>
      <c r="E143" s="29"/>
      <c r="F143" s="58">
        <f t="shared" ref="F143:T143" si="41">F144+F163+F169</f>
        <v>0</v>
      </c>
      <c r="G143" s="58">
        <f t="shared" si="41"/>
        <v>3973865</v>
      </c>
      <c r="H143" s="58">
        <f t="shared" si="41"/>
        <v>583113</v>
      </c>
      <c r="I143" s="58">
        <f t="shared" si="41"/>
        <v>1407115</v>
      </c>
      <c r="J143" s="58">
        <f t="shared" si="41"/>
        <v>0</v>
      </c>
      <c r="K143" s="58">
        <f t="shared" si="41"/>
        <v>1983637</v>
      </c>
      <c r="L143" s="58">
        <f t="shared" si="41"/>
        <v>1814847.1740580001</v>
      </c>
      <c r="M143" s="48">
        <f t="shared" si="41"/>
        <v>1747250</v>
      </c>
      <c r="N143" s="49">
        <f t="shared" si="41"/>
        <v>158000</v>
      </c>
      <c r="O143" s="49">
        <f t="shared" si="41"/>
        <v>1174452</v>
      </c>
      <c r="P143" s="49">
        <f t="shared" si="41"/>
        <v>0</v>
      </c>
      <c r="Q143" s="49">
        <f t="shared" si="41"/>
        <v>0</v>
      </c>
      <c r="R143" s="49">
        <f t="shared" si="41"/>
        <v>0</v>
      </c>
      <c r="S143" s="48">
        <f t="shared" si="41"/>
        <v>414798</v>
      </c>
      <c r="T143" s="50">
        <f t="shared" si="41"/>
        <v>0</v>
      </c>
      <c r="V143" s="6">
        <f t="shared" si="28"/>
        <v>0</v>
      </c>
    </row>
    <row r="144" spans="1:22" ht="28.5">
      <c r="A144" s="87" t="s">
        <v>71</v>
      </c>
      <c r="B144" s="47" t="s">
        <v>72</v>
      </c>
      <c r="C144" s="29"/>
      <c r="D144" s="29"/>
      <c r="E144" s="29"/>
      <c r="F144" s="58">
        <f t="shared" ref="F144" si="42">SUM(F145:F157)</f>
        <v>0</v>
      </c>
      <c r="G144" s="58">
        <f>SUM(G145:G162)</f>
        <v>1542019</v>
      </c>
      <c r="H144" s="58">
        <f t="shared" ref="H144:T144" si="43">SUM(H145:H162)</f>
        <v>495513</v>
      </c>
      <c r="I144" s="58">
        <f t="shared" si="43"/>
        <v>11765</v>
      </c>
      <c r="J144" s="58">
        <f t="shared" si="43"/>
        <v>0</v>
      </c>
      <c r="K144" s="58">
        <f t="shared" si="43"/>
        <v>1034741</v>
      </c>
      <c r="L144" s="58">
        <f t="shared" si="43"/>
        <v>1372876.1740580001</v>
      </c>
      <c r="M144" s="48">
        <f t="shared" si="43"/>
        <v>18747</v>
      </c>
      <c r="N144" s="49">
        <f t="shared" si="43"/>
        <v>0</v>
      </c>
      <c r="O144" s="49">
        <f t="shared" si="43"/>
        <v>0</v>
      </c>
      <c r="P144" s="49">
        <f t="shared" si="43"/>
        <v>0</v>
      </c>
      <c r="Q144" s="49">
        <f t="shared" si="43"/>
        <v>0</v>
      </c>
      <c r="R144" s="49">
        <f t="shared" si="43"/>
        <v>0</v>
      </c>
      <c r="S144" s="48">
        <f t="shared" si="43"/>
        <v>18747</v>
      </c>
      <c r="T144" s="50">
        <f t="shared" si="43"/>
        <v>0</v>
      </c>
      <c r="V144" s="6">
        <f t="shared" si="28"/>
        <v>0</v>
      </c>
    </row>
    <row r="145" spans="1:22" ht="30">
      <c r="A145" s="53">
        <v>1</v>
      </c>
      <c r="B145" s="52" t="s">
        <v>326</v>
      </c>
      <c r="C145" s="53" t="s">
        <v>40</v>
      </c>
      <c r="D145" s="53" t="s">
        <v>31</v>
      </c>
      <c r="E145" s="53" t="s">
        <v>327</v>
      </c>
      <c r="F145" s="53" t="s">
        <v>328</v>
      </c>
      <c r="G145" s="54">
        <f t="shared" ref="G145:G157" si="44">SUM(H145:K145)</f>
        <v>13650</v>
      </c>
      <c r="H145" s="54"/>
      <c r="I145" s="54"/>
      <c r="J145" s="54"/>
      <c r="K145" s="54">
        <v>13650</v>
      </c>
      <c r="L145" s="124">
        <v>13000</v>
      </c>
      <c r="M145" s="57">
        <f t="shared" ref="M145:M162" si="45">SUM(N145:S145)</f>
        <v>650</v>
      </c>
      <c r="N145" s="61"/>
      <c r="O145" s="61"/>
      <c r="P145" s="61"/>
      <c r="Q145" s="61"/>
      <c r="R145" s="61"/>
      <c r="S145" s="68">
        <v>650</v>
      </c>
      <c r="T145" s="37"/>
      <c r="V145" s="6">
        <f t="shared" si="28"/>
        <v>0</v>
      </c>
    </row>
    <row r="146" spans="1:22" ht="30">
      <c r="A146" s="125" t="s">
        <v>329</v>
      </c>
      <c r="B146" s="52" t="s">
        <v>330</v>
      </c>
      <c r="C146" s="53" t="s">
        <v>64</v>
      </c>
      <c r="D146" s="53" t="s">
        <v>26</v>
      </c>
      <c r="E146" s="53" t="s">
        <v>331</v>
      </c>
      <c r="F146" s="53" t="s">
        <v>332</v>
      </c>
      <c r="G146" s="54">
        <f t="shared" si="44"/>
        <v>71064</v>
      </c>
      <c r="H146" s="54"/>
      <c r="I146" s="54"/>
      <c r="J146" s="54"/>
      <c r="K146" s="54">
        <v>71064</v>
      </c>
      <c r="L146" s="124">
        <v>64648</v>
      </c>
      <c r="M146" s="57">
        <f t="shared" si="45"/>
        <v>1000</v>
      </c>
      <c r="N146" s="61"/>
      <c r="O146" s="61"/>
      <c r="P146" s="61"/>
      <c r="Q146" s="61"/>
      <c r="R146" s="61"/>
      <c r="S146" s="68">
        <v>1000</v>
      </c>
      <c r="T146" s="37"/>
      <c r="V146" s="6">
        <f t="shared" si="28"/>
        <v>0</v>
      </c>
    </row>
    <row r="147" spans="1:22" ht="30">
      <c r="A147" s="53">
        <v>3</v>
      </c>
      <c r="B147" s="52" t="s">
        <v>333</v>
      </c>
      <c r="C147" s="53" t="s">
        <v>40</v>
      </c>
      <c r="D147" s="53" t="s">
        <v>26</v>
      </c>
      <c r="E147" s="53" t="s">
        <v>331</v>
      </c>
      <c r="F147" s="53" t="s">
        <v>334</v>
      </c>
      <c r="G147" s="54">
        <f t="shared" si="44"/>
        <v>285656</v>
      </c>
      <c r="H147" s="89"/>
      <c r="I147" s="89"/>
      <c r="J147" s="89"/>
      <c r="K147" s="89">
        <v>285656</v>
      </c>
      <c r="L147" s="124">
        <v>262200</v>
      </c>
      <c r="M147" s="57">
        <f t="shared" si="45"/>
        <v>5000</v>
      </c>
      <c r="N147" s="61"/>
      <c r="O147" s="61"/>
      <c r="P147" s="61"/>
      <c r="Q147" s="61"/>
      <c r="R147" s="61"/>
      <c r="S147" s="68">
        <v>5000</v>
      </c>
      <c r="T147" s="37"/>
      <c r="V147" s="6">
        <f t="shared" si="28"/>
        <v>0</v>
      </c>
    </row>
    <row r="148" spans="1:22" ht="30">
      <c r="A148" s="125" t="s">
        <v>335</v>
      </c>
      <c r="B148" s="52" t="s">
        <v>336</v>
      </c>
      <c r="C148" s="53" t="s">
        <v>40</v>
      </c>
      <c r="D148" s="53" t="s">
        <v>31</v>
      </c>
      <c r="E148" s="53" t="s">
        <v>337</v>
      </c>
      <c r="F148" s="53" t="s">
        <v>338</v>
      </c>
      <c r="G148" s="54">
        <f t="shared" si="44"/>
        <v>3700</v>
      </c>
      <c r="H148" s="89"/>
      <c r="I148" s="89"/>
      <c r="J148" s="89"/>
      <c r="K148" s="89">
        <v>3700</v>
      </c>
      <c r="L148" s="124">
        <v>3500</v>
      </c>
      <c r="M148" s="57">
        <f t="shared" si="45"/>
        <v>200</v>
      </c>
      <c r="N148" s="61"/>
      <c r="O148" s="61"/>
      <c r="P148" s="61"/>
      <c r="Q148" s="61"/>
      <c r="R148" s="61"/>
      <c r="S148" s="68">
        <v>200</v>
      </c>
      <c r="T148" s="37"/>
      <c r="V148" s="6">
        <f t="shared" ref="V148:V211" si="46">G148-H148-I148-J148-K148</f>
        <v>0</v>
      </c>
    </row>
    <row r="149" spans="1:22" ht="30">
      <c r="A149" s="125" t="s">
        <v>339</v>
      </c>
      <c r="B149" s="72" t="s">
        <v>340</v>
      </c>
      <c r="C149" s="53" t="s">
        <v>40</v>
      </c>
      <c r="D149" s="40" t="s">
        <v>31</v>
      </c>
      <c r="E149" s="53">
        <v>2017</v>
      </c>
      <c r="F149" s="53" t="s">
        <v>341</v>
      </c>
      <c r="G149" s="54">
        <f t="shared" si="44"/>
        <v>443</v>
      </c>
      <c r="H149" s="89"/>
      <c r="I149" s="89"/>
      <c r="J149" s="89"/>
      <c r="K149" s="93">
        <v>443</v>
      </c>
      <c r="L149" s="126">
        <v>428</v>
      </c>
      <c r="M149" s="57">
        <f t="shared" si="45"/>
        <v>22</v>
      </c>
      <c r="N149" s="61"/>
      <c r="O149" s="61"/>
      <c r="P149" s="61"/>
      <c r="Q149" s="61"/>
      <c r="R149" s="61"/>
      <c r="S149" s="122">
        <v>22</v>
      </c>
      <c r="T149" s="94" t="s">
        <v>212</v>
      </c>
      <c r="V149" s="6">
        <f t="shared" si="46"/>
        <v>0</v>
      </c>
    </row>
    <row r="150" spans="1:22" ht="30">
      <c r="A150" s="125" t="s">
        <v>342</v>
      </c>
      <c r="B150" s="72" t="s">
        <v>343</v>
      </c>
      <c r="C150" s="53" t="s">
        <v>40</v>
      </c>
      <c r="D150" s="40" t="s">
        <v>31</v>
      </c>
      <c r="E150" s="53">
        <v>2016</v>
      </c>
      <c r="F150" s="53" t="s">
        <v>344</v>
      </c>
      <c r="G150" s="54">
        <f t="shared" si="44"/>
        <v>768</v>
      </c>
      <c r="H150" s="89"/>
      <c r="I150" s="89"/>
      <c r="J150" s="89"/>
      <c r="K150" s="93">
        <v>768</v>
      </c>
      <c r="L150" s="126">
        <v>737</v>
      </c>
      <c r="M150" s="57">
        <f t="shared" si="45"/>
        <v>31</v>
      </c>
      <c r="N150" s="61"/>
      <c r="O150" s="61"/>
      <c r="P150" s="61"/>
      <c r="Q150" s="61"/>
      <c r="R150" s="61"/>
      <c r="S150" s="122">
        <v>31</v>
      </c>
      <c r="T150" s="94" t="s">
        <v>212</v>
      </c>
      <c r="V150" s="6">
        <f t="shared" si="46"/>
        <v>0</v>
      </c>
    </row>
    <row r="151" spans="1:22" ht="30">
      <c r="A151" s="125" t="s">
        <v>345</v>
      </c>
      <c r="B151" s="72" t="s">
        <v>346</v>
      </c>
      <c r="C151" s="53" t="s">
        <v>40</v>
      </c>
      <c r="D151" s="40" t="s">
        <v>31</v>
      </c>
      <c r="E151" s="53">
        <v>2017</v>
      </c>
      <c r="F151" s="53" t="s">
        <v>347</v>
      </c>
      <c r="G151" s="54">
        <f t="shared" si="44"/>
        <v>2289</v>
      </c>
      <c r="H151" s="89"/>
      <c r="I151" s="89"/>
      <c r="J151" s="89"/>
      <c r="K151" s="93">
        <v>2289</v>
      </c>
      <c r="L151" s="126">
        <v>2310</v>
      </c>
      <c r="M151" s="57">
        <f t="shared" si="45"/>
        <v>68</v>
      </c>
      <c r="N151" s="61"/>
      <c r="O151" s="61"/>
      <c r="P151" s="61"/>
      <c r="Q151" s="61"/>
      <c r="R151" s="61"/>
      <c r="S151" s="122">
        <v>68</v>
      </c>
      <c r="T151" s="94" t="s">
        <v>212</v>
      </c>
      <c r="V151" s="6">
        <f t="shared" si="46"/>
        <v>0</v>
      </c>
    </row>
    <row r="152" spans="1:22" ht="30">
      <c r="A152" s="125" t="s">
        <v>348</v>
      </c>
      <c r="B152" s="72" t="s">
        <v>349</v>
      </c>
      <c r="C152" s="53" t="s">
        <v>40</v>
      </c>
      <c r="D152" s="40" t="s">
        <v>31</v>
      </c>
      <c r="E152" s="53">
        <v>2017</v>
      </c>
      <c r="F152" s="53" t="s">
        <v>350</v>
      </c>
      <c r="G152" s="54">
        <f t="shared" si="44"/>
        <v>188</v>
      </c>
      <c r="H152" s="89"/>
      <c r="I152" s="89"/>
      <c r="J152" s="89"/>
      <c r="K152" s="93">
        <v>188</v>
      </c>
      <c r="L152" s="126">
        <v>182</v>
      </c>
      <c r="M152" s="57">
        <f t="shared" si="45"/>
        <v>6</v>
      </c>
      <c r="N152" s="61"/>
      <c r="O152" s="61"/>
      <c r="P152" s="61"/>
      <c r="Q152" s="61"/>
      <c r="R152" s="61"/>
      <c r="S152" s="122">
        <v>6</v>
      </c>
      <c r="T152" s="94" t="s">
        <v>212</v>
      </c>
      <c r="V152" s="6">
        <f t="shared" si="46"/>
        <v>0</v>
      </c>
    </row>
    <row r="153" spans="1:22" ht="45">
      <c r="A153" s="125" t="s">
        <v>351</v>
      </c>
      <c r="B153" s="96" t="s">
        <v>352</v>
      </c>
      <c r="C153" s="97" t="s">
        <v>64</v>
      </c>
      <c r="D153" s="53" t="s">
        <v>31</v>
      </c>
      <c r="E153" s="53">
        <v>2021</v>
      </c>
      <c r="F153" s="53" t="s">
        <v>353</v>
      </c>
      <c r="G153" s="67">
        <f t="shared" si="44"/>
        <v>964</v>
      </c>
      <c r="H153" s="112"/>
      <c r="I153" s="112"/>
      <c r="J153" s="111"/>
      <c r="K153" s="93">
        <v>964</v>
      </c>
      <c r="L153" s="124"/>
      <c r="M153" s="57">
        <f t="shared" si="45"/>
        <v>964</v>
      </c>
      <c r="N153" s="61"/>
      <c r="O153" s="61"/>
      <c r="P153" s="61"/>
      <c r="Q153" s="61"/>
      <c r="R153" s="61"/>
      <c r="S153" s="122">
        <v>964</v>
      </c>
      <c r="T153" s="127" t="s">
        <v>354</v>
      </c>
      <c r="V153" s="6">
        <f t="shared" si="46"/>
        <v>0</v>
      </c>
    </row>
    <row r="154" spans="1:22" ht="30">
      <c r="A154" s="125" t="s">
        <v>355</v>
      </c>
      <c r="B154" s="52" t="s">
        <v>356</v>
      </c>
      <c r="C154" s="53" t="s">
        <v>40</v>
      </c>
      <c r="D154" s="53" t="s">
        <v>31</v>
      </c>
      <c r="E154" s="53" t="s">
        <v>357</v>
      </c>
      <c r="F154" s="53" t="s">
        <v>358</v>
      </c>
      <c r="G154" s="54">
        <f t="shared" si="44"/>
        <v>41481</v>
      </c>
      <c r="H154" s="89"/>
      <c r="I154" s="89"/>
      <c r="J154" s="89"/>
      <c r="K154" s="89">
        <v>41481</v>
      </c>
      <c r="L154" s="124">
        <v>36120.174057999997</v>
      </c>
      <c r="M154" s="57">
        <f t="shared" si="45"/>
        <v>3575</v>
      </c>
      <c r="N154" s="61"/>
      <c r="O154" s="61"/>
      <c r="P154" s="61"/>
      <c r="Q154" s="61"/>
      <c r="R154" s="61"/>
      <c r="S154" s="68">
        <v>3575</v>
      </c>
      <c r="T154" s="37"/>
      <c r="V154" s="6">
        <f t="shared" si="46"/>
        <v>0</v>
      </c>
    </row>
    <row r="155" spans="1:22" ht="30">
      <c r="A155" s="125" t="s">
        <v>359</v>
      </c>
      <c r="B155" s="59" t="s">
        <v>360</v>
      </c>
      <c r="C155" s="53" t="s">
        <v>40</v>
      </c>
      <c r="D155" s="53" t="s">
        <v>26</v>
      </c>
      <c r="E155" s="53" t="s">
        <v>361</v>
      </c>
      <c r="F155" s="53" t="s">
        <v>362</v>
      </c>
      <c r="G155" s="54">
        <f t="shared" si="44"/>
        <v>218058</v>
      </c>
      <c r="H155" s="89">
        <v>70271</v>
      </c>
      <c r="I155" s="89"/>
      <c r="J155" s="89"/>
      <c r="K155" s="89">
        <v>147787</v>
      </c>
      <c r="L155" s="124">
        <v>171895</v>
      </c>
      <c r="M155" s="57">
        <f t="shared" si="45"/>
        <v>46</v>
      </c>
      <c r="N155" s="61"/>
      <c r="O155" s="61"/>
      <c r="P155" s="61"/>
      <c r="Q155" s="61"/>
      <c r="R155" s="61"/>
      <c r="S155" s="68">
        <v>46</v>
      </c>
      <c r="T155" s="37"/>
      <c r="V155" s="6">
        <f t="shared" si="46"/>
        <v>0</v>
      </c>
    </row>
    <row r="156" spans="1:22" ht="30">
      <c r="A156" s="125" t="s">
        <v>363</v>
      </c>
      <c r="B156" s="59" t="s">
        <v>364</v>
      </c>
      <c r="C156" s="53" t="s">
        <v>40</v>
      </c>
      <c r="D156" s="53" t="s">
        <v>31</v>
      </c>
      <c r="E156" s="53" t="s">
        <v>365</v>
      </c>
      <c r="F156" s="53" t="s">
        <v>366</v>
      </c>
      <c r="G156" s="54">
        <f t="shared" si="44"/>
        <v>2506</v>
      </c>
      <c r="H156" s="89"/>
      <c r="I156" s="89"/>
      <c r="J156" s="89"/>
      <c r="K156" s="89">
        <v>2506</v>
      </c>
      <c r="L156" s="124">
        <v>2310</v>
      </c>
      <c r="M156" s="57">
        <f t="shared" si="45"/>
        <v>25</v>
      </c>
      <c r="N156" s="61"/>
      <c r="O156" s="61"/>
      <c r="P156" s="61"/>
      <c r="Q156" s="61"/>
      <c r="R156" s="61"/>
      <c r="S156" s="68">
        <v>25</v>
      </c>
      <c r="T156" s="37"/>
      <c r="V156" s="6">
        <f t="shared" si="46"/>
        <v>0</v>
      </c>
    </row>
    <row r="157" spans="1:22" ht="45">
      <c r="A157" s="125" t="s">
        <v>367</v>
      </c>
      <c r="B157" s="59" t="s">
        <v>368</v>
      </c>
      <c r="C157" s="53" t="s">
        <v>40</v>
      </c>
      <c r="D157" s="53" t="s">
        <v>31</v>
      </c>
      <c r="E157" s="53" t="s">
        <v>369</v>
      </c>
      <c r="F157" s="53" t="s">
        <v>370</v>
      </c>
      <c r="G157" s="54">
        <f t="shared" si="44"/>
        <v>13081</v>
      </c>
      <c r="H157" s="89"/>
      <c r="I157" s="89">
        <v>11765</v>
      </c>
      <c r="J157" s="89"/>
      <c r="K157" s="89">
        <v>1316</v>
      </c>
      <c r="L157" s="124">
        <v>11346</v>
      </c>
      <c r="M157" s="57">
        <f t="shared" si="45"/>
        <v>2</v>
      </c>
      <c r="N157" s="61"/>
      <c r="O157" s="61"/>
      <c r="P157" s="61"/>
      <c r="Q157" s="61"/>
      <c r="R157" s="61"/>
      <c r="S157" s="68">
        <v>2</v>
      </c>
      <c r="T157" s="37"/>
      <c r="V157" s="6">
        <f t="shared" si="46"/>
        <v>0</v>
      </c>
    </row>
    <row r="158" spans="1:22" ht="30">
      <c r="A158" s="53">
        <v>13</v>
      </c>
      <c r="B158" s="59" t="s">
        <v>371</v>
      </c>
      <c r="C158" s="53" t="s">
        <v>40</v>
      </c>
      <c r="D158" s="53" t="s">
        <v>22</v>
      </c>
      <c r="E158" s="53" t="s">
        <v>372</v>
      </c>
      <c r="F158" s="53" t="s">
        <v>373</v>
      </c>
      <c r="G158" s="54">
        <v>850484</v>
      </c>
      <c r="H158" s="89">
        <f>G158-K158</f>
        <v>425242</v>
      </c>
      <c r="I158" s="89"/>
      <c r="J158" s="89"/>
      <c r="K158" s="89">
        <v>425242</v>
      </c>
      <c r="L158" s="124">
        <v>783616</v>
      </c>
      <c r="M158" s="57">
        <f t="shared" si="45"/>
        <v>5755</v>
      </c>
      <c r="N158" s="129"/>
      <c r="O158" s="129"/>
      <c r="P158" s="129"/>
      <c r="Q158" s="129"/>
      <c r="R158" s="130"/>
      <c r="S158" s="122">
        <v>5755</v>
      </c>
      <c r="T158" s="131"/>
      <c r="V158" s="6">
        <f t="shared" si="46"/>
        <v>0</v>
      </c>
    </row>
    <row r="159" spans="1:22" ht="30">
      <c r="A159" s="53">
        <v>14</v>
      </c>
      <c r="B159" s="59" t="s">
        <v>374</v>
      </c>
      <c r="C159" s="53" t="s">
        <v>40</v>
      </c>
      <c r="D159" s="53" t="s">
        <v>31</v>
      </c>
      <c r="E159" s="53" t="s">
        <v>375</v>
      </c>
      <c r="F159" s="53" t="s">
        <v>376</v>
      </c>
      <c r="G159" s="54">
        <v>20998</v>
      </c>
      <c r="H159" s="89"/>
      <c r="I159" s="89"/>
      <c r="J159" s="89"/>
      <c r="K159" s="89">
        <v>20998</v>
      </c>
      <c r="L159" s="124">
        <v>19124</v>
      </c>
      <c r="M159" s="57">
        <f t="shared" si="45"/>
        <v>1329</v>
      </c>
      <c r="N159" s="130"/>
      <c r="O159" s="129"/>
      <c r="P159" s="129"/>
      <c r="Q159" s="129"/>
      <c r="R159" s="130"/>
      <c r="S159" s="122">
        <v>1329</v>
      </c>
      <c r="T159" s="131"/>
      <c r="V159" s="6">
        <f t="shared" si="46"/>
        <v>0</v>
      </c>
    </row>
    <row r="160" spans="1:22" ht="30">
      <c r="A160" s="53">
        <v>15</v>
      </c>
      <c r="B160" s="59" t="s">
        <v>377</v>
      </c>
      <c r="C160" s="53" t="s">
        <v>40</v>
      </c>
      <c r="D160" s="53" t="s">
        <v>31</v>
      </c>
      <c r="E160" s="53" t="s">
        <v>369</v>
      </c>
      <c r="F160" s="53" t="s">
        <v>378</v>
      </c>
      <c r="G160" s="54">
        <v>621</v>
      </c>
      <c r="H160" s="89"/>
      <c r="I160" s="89"/>
      <c r="J160" s="89"/>
      <c r="K160" s="89">
        <v>621</v>
      </c>
      <c r="L160" s="124">
        <v>572</v>
      </c>
      <c r="M160" s="57">
        <f t="shared" si="45"/>
        <v>32</v>
      </c>
      <c r="N160" s="130"/>
      <c r="O160" s="129"/>
      <c r="P160" s="129"/>
      <c r="Q160" s="129"/>
      <c r="R160" s="130"/>
      <c r="S160" s="122">
        <v>32</v>
      </c>
      <c r="T160" s="131"/>
      <c r="V160" s="6">
        <f t="shared" si="46"/>
        <v>0</v>
      </c>
    </row>
    <row r="161" spans="1:22" ht="45">
      <c r="A161" s="53">
        <v>16</v>
      </c>
      <c r="B161" s="59" t="s">
        <v>379</v>
      </c>
      <c r="C161" s="53" t="s">
        <v>40</v>
      </c>
      <c r="D161" s="53" t="s">
        <v>31</v>
      </c>
      <c r="E161" s="53">
        <v>2016</v>
      </c>
      <c r="F161" s="53" t="s">
        <v>380</v>
      </c>
      <c r="G161" s="54">
        <v>1103</v>
      </c>
      <c r="H161" s="89"/>
      <c r="I161" s="89"/>
      <c r="J161" s="89"/>
      <c r="K161" s="89">
        <v>1103</v>
      </c>
      <c r="L161" s="124">
        <v>788</v>
      </c>
      <c r="M161" s="57">
        <f t="shared" si="45"/>
        <v>42</v>
      </c>
      <c r="N161" s="130"/>
      <c r="O161" s="129"/>
      <c r="P161" s="129"/>
      <c r="Q161" s="129"/>
      <c r="R161" s="130"/>
      <c r="S161" s="122">
        <v>42</v>
      </c>
      <c r="T161" s="131"/>
      <c r="V161" s="6">
        <f t="shared" si="46"/>
        <v>0</v>
      </c>
    </row>
    <row r="162" spans="1:22" ht="30">
      <c r="A162" s="53">
        <v>17</v>
      </c>
      <c r="B162" s="52" t="s">
        <v>381</v>
      </c>
      <c r="C162" s="53" t="s">
        <v>40</v>
      </c>
      <c r="D162" s="53" t="s">
        <v>31</v>
      </c>
      <c r="E162" s="53" t="s">
        <v>59</v>
      </c>
      <c r="F162" s="53" t="s">
        <v>382</v>
      </c>
      <c r="G162" s="54">
        <v>14965</v>
      </c>
      <c r="H162" s="89"/>
      <c r="I162" s="89"/>
      <c r="J162" s="89"/>
      <c r="K162" s="89">
        <v>14965</v>
      </c>
      <c r="L162" s="54">
        <v>100</v>
      </c>
      <c r="M162" s="57">
        <f t="shared" si="45"/>
        <v>0</v>
      </c>
      <c r="N162" s="133"/>
      <c r="O162" s="133"/>
      <c r="P162" s="134"/>
      <c r="Q162" s="134"/>
      <c r="R162" s="134"/>
      <c r="S162" s="135">
        <f>14865-14865</f>
        <v>0</v>
      </c>
      <c r="T162" s="136"/>
      <c r="V162" s="6">
        <f t="shared" si="46"/>
        <v>0</v>
      </c>
    </row>
    <row r="163" spans="1:22">
      <c r="A163" s="46" t="s">
        <v>82</v>
      </c>
      <c r="B163" s="47" t="s">
        <v>83</v>
      </c>
      <c r="C163" s="29"/>
      <c r="D163" s="29"/>
      <c r="E163" s="29"/>
      <c r="F163" s="137"/>
      <c r="G163" s="137">
        <f t="shared" ref="G163:T163" si="47">SUM(G164:G168)</f>
        <v>1987481</v>
      </c>
      <c r="H163" s="137">
        <f t="shared" si="47"/>
        <v>0</v>
      </c>
      <c r="I163" s="137">
        <f t="shared" si="47"/>
        <v>1395350</v>
      </c>
      <c r="J163" s="137">
        <f t="shared" si="47"/>
        <v>0</v>
      </c>
      <c r="K163" s="137">
        <f t="shared" si="47"/>
        <v>592131</v>
      </c>
      <c r="L163" s="137">
        <f t="shared" si="47"/>
        <v>441971</v>
      </c>
      <c r="M163" s="138">
        <f t="shared" si="47"/>
        <v>1365925</v>
      </c>
      <c r="N163" s="139">
        <f t="shared" si="47"/>
        <v>0</v>
      </c>
      <c r="O163" s="139">
        <f t="shared" si="47"/>
        <v>1174452</v>
      </c>
      <c r="P163" s="139">
        <f t="shared" si="47"/>
        <v>0</v>
      </c>
      <c r="Q163" s="139">
        <f t="shared" si="47"/>
        <v>0</v>
      </c>
      <c r="R163" s="139">
        <f t="shared" si="47"/>
        <v>0</v>
      </c>
      <c r="S163" s="138">
        <f t="shared" si="47"/>
        <v>191473</v>
      </c>
      <c r="T163" s="140">
        <f t="shared" si="47"/>
        <v>0</v>
      </c>
      <c r="V163" s="6">
        <f t="shared" si="46"/>
        <v>0</v>
      </c>
    </row>
    <row r="164" spans="1:22" ht="60">
      <c r="A164" s="53">
        <v>1</v>
      </c>
      <c r="B164" s="59" t="s">
        <v>383</v>
      </c>
      <c r="C164" s="53" t="s">
        <v>40</v>
      </c>
      <c r="D164" s="53" t="s">
        <v>22</v>
      </c>
      <c r="E164" s="53" t="s">
        <v>384</v>
      </c>
      <c r="F164" s="116" t="s">
        <v>385</v>
      </c>
      <c r="G164" s="54">
        <f>SUM(H164:K164)</f>
        <v>1727942</v>
      </c>
      <c r="H164" s="54"/>
      <c r="I164" s="54">
        <v>1395350</v>
      </c>
      <c r="J164" s="54"/>
      <c r="K164" s="54">
        <v>332592</v>
      </c>
      <c r="L164" s="124">
        <v>247283</v>
      </c>
      <c r="M164" s="57">
        <f>SUM(N164:S164)</f>
        <v>1319452</v>
      </c>
      <c r="N164" s="61"/>
      <c r="O164" s="61">
        <v>1174452</v>
      </c>
      <c r="P164" s="61"/>
      <c r="Q164" s="61"/>
      <c r="R164" s="61"/>
      <c r="S164" s="68">
        <f>245000-100000</f>
        <v>145000</v>
      </c>
      <c r="T164" s="127" t="s">
        <v>386</v>
      </c>
      <c r="V164" s="6">
        <f t="shared" si="46"/>
        <v>0</v>
      </c>
    </row>
    <row r="165" spans="1:22" ht="30">
      <c r="A165" s="53">
        <v>2</v>
      </c>
      <c r="B165" s="59" t="s">
        <v>387</v>
      </c>
      <c r="C165" s="53" t="s">
        <v>40</v>
      </c>
      <c r="D165" s="53" t="s">
        <v>26</v>
      </c>
      <c r="E165" s="53" t="s">
        <v>331</v>
      </c>
      <c r="F165" s="53" t="s">
        <v>388</v>
      </c>
      <c r="G165" s="54">
        <f t="shared" ref="G165:G166" si="48">SUM(H165:K165)</f>
        <v>149783</v>
      </c>
      <c r="H165" s="54"/>
      <c r="I165" s="54"/>
      <c r="J165" s="54"/>
      <c r="K165" s="54">
        <v>149783</v>
      </c>
      <c r="L165" s="124">
        <v>134855</v>
      </c>
      <c r="M165" s="57">
        <f t="shared" ref="M165:M166" si="49">SUM(N165:S165)</f>
        <v>10000</v>
      </c>
      <c r="N165" s="61"/>
      <c r="O165" s="61"/>
      <c r="P165" s="61"/>
      <c r="Q165" s="61"/>
      <c r="R165" s="61"/>
      <c r="S165" s="68">
        <v>10000</v>
      </c>
      <c r="T165" s="37"/>
      <c r="V165" s="6">
        <f t="shared" si="46"/>
        <v>0</v>
      </c>
    </row>
    <row r="166" spans="1:22" ht="30">
      <c r="A166" s="53">
        <v>3</v>
      </c>
      <c r="B166" s="59" t="s">
        <v>389</v>
      </c>
      <c r="C166" s="53" t="s">
        <v>64</v>
      </c>
      <c r="D166" s="53" t="s">
        <v>26</v>
      </c>
      <c r="E166" s="53" t="s">
        <v>77</v>
      </c>
      <c r="F166" s="53" t="s">
        <v>390</v>
      </c>
      <c r="G166" s="54">
        <f t="shared" si="48"/>
        <v>68846</v>
      </c>
      <c r="H166" s="54"/>
      <c r="I166" s="54"/>
      <c r="J166" s="54"/>
      <c r="K166" s="54">
        <v>68846</v>
      </c>
      <c r="L166" s="124">
        <v>40133</v>
      </c>
      <c r="M166" s="57">
        <f t="shared" si="49"/>
        <v>18373</v>
      </c>
      <c r="N166" s="61"/>
      <c r="O166" s="61"/>
      <c r="P166" s="61"/>
      <c r="Q166" s="61"/>
      <c r="R166" s="61"/>
      <c r="S166" s="68">
        <v>18373</v>
      </c>
      <c r="T166" s="37"/>
      <c r="V166" s="6">
        <f t="shared" si="46"/>
        <v>0</v>
      </c>
    </row>
    <row r="167" spans="1:22" ht="30">
      <c r="A167" s="53">
        <v>4</v>
      </c>
      <c r="B167" s="92" t="s">
        <v>391</v>
      </c>
      <c r="C167" s="53" t="s">
        <v>123</v>
      </c>
      <c r="D167" s="12" t="s">
        <v>31</v>
      </c>
      <c r="E167" s="53" t="s">
        <v>238</v>
      </c>
      <c r="F167" s="53" t="s">
        <v>392</v>
      </c>
      <c r="G167" s="54">
        <f>SUM(H167:K167)</f>
        <v>25985</v>
      </c>
      <c r="H167" s="56"/>
      <c r="I167" s="55"/>
      <c r="J167" s="56"/>
      <c r="K167" s="56">
        <v>25985</v>
      </c>
      <c r="L167" s="56">
        <v>15100</v>
      </c>
      <c r="M167" s="57">
        <f>SUM(N167:S167)</f>
        <v>7900</v>
      </c>
      <c r="N167" s="55"/>
      <c r="O167" s="55"/>
      <c r="P167" s="55"/>
      <c r="Q167" s="55"/>
      <c r="R167" s="55"/>
      <c r="S167" s="57">
        <v>7900</v>
      </c>
      <c r="T167" s="37"/>
      <c r="V167" s="6">
        <f t="shared" si="46"/>
        <v>0</v>
      </c>
    </row>
    <row r="168" spans="1:22" ht="45">
      <c r="A168" s="53">
        <v>5</v>
      </c>
      <c r="B168" s="52" t="s">
        <v>393</v>
      </c>
      <c r="C168" s="53" t="s">
        <v>40</v>
      </c>
      <c r="D168" s="53" t="s">
        <v>31</v>
      </c>
      <c r="E168" s="53" t="s">
        <v>59</v>
      </c>
      <c r="F168" s="53" t="s">
        <v>394</v>
      </c>
      <c r="G168" s="54">
        <f>SUM(H168:K168)</f>
        <v>14925</v>
      </c>
      <c r="H168" s="89"/>
      <c r="I168" s="89"/>
      <c r="J168" s="89"/>
      <c r="K168" s="89">
        <v>14925</v>
      </c>
      <c r="L168" s="124">
        <v>4600</v>
      </c>
      <c r="M168" s="57">
        <f>SUM(N168:S168)</f>
        <v>10200</v>
      </c>
      <c r="N168" s="61"/>
      <c r="O168" s="61"/>
      <c r="P168" s="61"/>
      <c r="Q168" s="61"/>
      <c r="R168" s="61"/>
      <c r="S168" s="68">
        <v>10200</v>
      </c>
      <c r="T168" s="37"/>
      <c r="V168" s="6">
        <f t="shared" si="46"/>
        <v>0</v>
      </c>
    </row>
    <row r="169" spans="1:22">
      <c r="A169" s="46" t="s">
        <v>102</v>
      </c>
      <c r="B169" s="47" t="s">
        <v>103</v>
      </c>
      <c r="C169" s="29"/>
      <c r="D169" s="29"/>
      <c r="E169" s="29"/>
      <c r="F169" s="28"/>
      <c r="G169" s="28">
        <f t="shared" ref="G169:T169" si="50">SUM(G170:G178)</f>
        <v>444365</v>
      </c>
      <c r="H169" s="28">
        <f t="shared" si="50"/>
        <v>87600</v>
      </c>
      <c r="I169" s="28">
        <f t="shared" si="50"/>
        <v>0</v>
      </c>
      <c r="J169" s="28">
        <f t="shared" si="50"/>
        <v>0</v>
      </c>
      <c r="K169" s="28">
        <f t="shared" si="50"/>
        <v>356765</v>
      </c>
      <c r="L169" s="28">
        <f t="shared" si="50"/>
        <v>0</v>
      </c>
      <c r="M169" s="28">
        <f t="shared" si="50"/>
        <v>362578</v>
      </c>
      <c r="N169" s="36">
        <f t="shared" si="50"/>
        <v>158000</v>
      </c>
      <c r="O169" s="36">
        <f t="shared" si="50"/>
        <v>0</v>
      </c>
      <c r="P169" s="36">
        <f t="shared" si="50"/>
        <v>0</v>
      </c>
      <c r="Q169" s="36">
        <f t="shared" si="50"/>
        <v>0</v>
      </c>
      <c r="R169" s="36">
        <f t="shared" si="50"/>
        <v>0</v>
      </c>
      <c r="S169" s="28">
        <f t="shared" si="50"/>
        <v>204578</v>
      </c>
      <c r="T169" s="70">
        <f t="shared" si="50"/>
        <v>0</v>
      </c>
      <c r="V169" s="6">
        <f t="shared" si="46"/>
        <v>0</v>
      </c>
    </row>
    <row r="170" spans="1:22" ht="30">
      <c r="A170" s="53">
        <v>1</v>
      </c>
      <c r="B170" s="52" t="s">
        <v>395</v>
      </c>
      <c r="C170" s="53" t="s">
        <v>123</v>
      </c>
      <c r="D170" s="53" t="s">
        <v>26</v>
      </c>
      <c r="E170" s="53" t="s">
        <v>283</v>
      </c>
      <c r="F170" s="53" t="s">
        <v>396</v>
      </c>
      <c r="G170" s="54">
        <v>48837</v>
      </c>
      <c r="H170" s="89"/>
      <c r="I170" s="89"/>
      <c r="J170" s="89"/>
      <c r="K170" s="89">
        <v>48837</v>
      </c>
      <c r="L170" s="124"/>
      <c r="M170" s="57">
        <f t="shared" ref="M170:M176" si="51">SUM(N170:S170)</f>
        <v>48627</v>
      </c>
      <c r="N170" s="61"/>
      <c r="O170" s="61"/>
      <c r="P170" s="61"/>
      <c r="Q170" s="61"/>
      <c r="R170" s="61"/>
      <c r="S170" s="68">
        <f>48837-210</f>
        <v>48627</v>
      </c>
      <c r="T170" s="37"/>
      <c r="V170" s="6">
        <f t="shared" si="46"/>
        <v>0</v>
      </c>
    </row>
    <row r="171" spans="1:22" ht="45">
      <c r="A171" s="53">
        <v>2</v>
      </c>
      <c r="B171" s="96" t="s">
        <v>397</v>
      </c>
      <c r="C171" s="97" t="s">
        <v>40</v>
      </c>
      <c r="D171" s="53" t="s">
        <v>31</v>
      </c>
      <c r="E171" s="53">
        <v>2021</v>
      </c>
      <c r="F171" s="53" t="s">
        <v>398</v>
      </c>
      <c r="G171" s="67">
        <f t="shared" ref="G171:G175" si="52">SUM(H171:K171)</f>
        <v>6052</v>
      </c>
      <c r="H171" s="112"/>
      <c r="I171" s="112"/>
      <c r="J171" s="111"/>
      <c r="K171" s="89">
        <v>6052</v>
      </c>
      <c r="L171" s="124"/>
      <c r="M171" s="57">
        <f t="shared" si="51"/>
        <v>6052</v>
      </c>
      <c r="N171" s="61"/>
      <c r="O171" s="61"/>
      <c r="P171" s="61"/>
      <c r="Q171" s="61"/>
      <c r="R171" s="61"/>
      <c r="S171" s="141">
        <v>6052</v>
      </c>
      <c r="T171" s="127" t="s">
        <v>399</v>
      </c>
      <c r="V171" s="6">
        <f t="shared" si="46"/>
        <v>0</v>
      </c>
    </row>
    <row r="172" spans="1:22" ht="45">
      <c r="A172" s="53">
        <v>3</v>
      </c>
      <c r="B172" s="96" t="s">
        <v>400</v>
      </c>
      <c r="C172" s="97" t="s">
        <v>40</v>
      </c>
      <c r="D172" s="53" t="s">
        <v>31</v>
      </c>
      <c r="E172" s="53">
        <v>2021</v>
      </c>
      <c r="F172" s="53" t="s">
        <v>401</v>
      </c>
      <c r="G172" s="67">
        <f t="shared" si="52"/>
        <v>22051</v>
      </c>
      <c r="H172" s="112"/>
      <c r="I172" s="112"/>
      <c r="J172" s="111"/>
      <c r="K172" s="89">
        <v>22051</v>
      </c>
      <c r="L172" s="124"/>
      <c r="M172" s="57">
        <f t="shared" si="51"/>
        <v>22051</v>
      </c>
      <c r="N172" s="61"/>
      <c r="O172" s="61"/>
      <c r="P172" s="61"/>
      <c r="Q172" s="61"/>
      <c r="R172" s="61"/>
      <c r="S172" s="141">
        <v>22051</v>
      </c>
      <c r="T172" s="127" t="s">
        <v>402</v>
      </c>
      <c r="V172" s="6">
        <f t="shared" si="46"/>
        <v>0</v>
      </c>
    </row>
    <row r="173" spans="1:22" ht="45">
      <c r="A173" s="53">
        <v>4</v>
      </c>
      <c r="B173" s="96" t="s">
        <v>403</v>
      </c>
      <c r="C173" s="97" t="s">
        <v>58</v>
      </c>
      <c r="D173" s="53" t="s">
        <v>31</v>
      </c>
      <c r="E173" s="53">
        <v>2021</v>
      </c>
      <c r="F173" s="53" t="s">
        <v>404</v>
      </c>
      <c r="G173" s="67">
        <f t="shared" si="52"/>
        <v>4051</v>
      </c>
      <c r="H173" s="112"/>
      <c r="I173" s="112"/>
      <c r="J173" s="111"/>
      <c r="K173" s="89">
        <v>4051</v>
      </c>
      <c r="L173" s="124"/>
      <c r="M173" s="57">
        <f t="shared" si="51"/>
        <v>4051</v>
      </c>
      <c r="N173" s="61"/>
      <c r="O173" s="61"/>
      <c r="P173" s="61"/>
      <c r="Q173" s="61"/>
      <c r="R173" s="61"/>
      <c r="S173" s="141">
        <v>4051</v>
      </c>
      <c r="T173" s="127" t="s">
        <v>405</v>
      </c>
      <c r="V173" s="6">
        <f t="shared" si="46"/>
        <v>0</v>
      </c>
    </row>
    <row r="174" spans="1:22" ht="45">
      <c r="A174" s="53">
        <v>5</v>
      </c>
      <c r="B174" s="96" t="s">
        <v>406</v>
      </c>
      <c r="C174" s="97" t="s">
        <v>58</v>
      </c>
      <c r="D174" s="53" t="s">
        <v>31</v>
      </c>
      <c r="E174" s="53">
        <v>2021</v>
      </c>
      <c r="F174" s="53" t="s">
        <v>407</v>
      </c>
      <c r="G174" s="67">
        <f t="shared" si="52"/>
        <v>2173</v>
      </c>
      <c r="H174" s="112"/>
      <c r="I174" s="112"/>
      <c r="J174" s="111"/>
      <c r="K174" s="89">
        <v>2173</v>
      </c>
      <c r="L174" s="54"/>
      <c r="M174" s="57">
        <f t="shared" si="51"/>
        <v>2173</v>
      </c>
      <c r="N174" s="133"/>
      <c r="O174" s="133"/>
      <c r="P174" s="133"/>
      <c r="Q174" s="133"/>
      <c r="R174" s="133"/>
      <c r="S174" s="141">
        <v>2173</v>
      </c>
      <c r="T174" s="127" t="s">
        <v>408</v>
      </c>
      <c r="V174" s="6">
        <f t="shared" si="46"/>
        <v>0</v>
      </c>
    </row>
    <row r="175" spans="1:22" ht="45">
      <c r="A175" s="53">
        <v>6</v>
      </c>
      <c r="B175" s="96" t="s">
        <v>409</v>
      </c>
      <c r="C175" s="97" t="s">
        <v>58</v>
      </c>
      <c r="D175" s="53" t="s">
        <v>31</v>
      </c>
      <c r="E175" s="53">
        <v>2021</v>
      </c>
      <c r="F175" s="53" t="s">
        <v>410</v>
      </c>
      <c r="G175" s="67">
        <f t="shared" si="52"/>
        <v>3138</v>
      </c>
      <c r="H175" s="112"/>
      <c r="I175" s="112"/>
      <c r="J175" s="111"/>
      <c r="K175" s="89">
        <v>3138</v>
      </c>
      <c r="L175" s="54"/>
      <c r="M175" s="57">
        <f t="shared" si="51"/>
        <v>3138</v>
      </c>
      <c r="N175" s="133"/>
      <c r="O175" s="133"/>
      <c r="P175" s="133"/>
      <c r="Q175" s="133"/>
      <c r="R175" s="133"/>
      <c r="S175" s="141">
        <v>3138</v>
      </c>
      <c r="T175" s="127" t="s">
        <v>411</v>
      </c>
      <c r="V175" s="6">
        <f t="shared" si="46"/>
        <v>0</v>
      </c>
    </row>
    <row r="176" spans="1:22" ht="45">
      <c r="A176" s="53">
        <v>7</v>
      </c>
      <c r="B176" s="96" t="s">
        <v>318</v>
      </c>
      <c r="C176" s="15" t="s">
        <v>40</v>
      </c>
      <c r="D176" s="15" t="s">
        <v>26</v>
      </c>
      <c r="E176" s="53" t="s">
        <v>283</v>
      </c>
      <c r="F176" s="157" t="s">
        <v>412</v>
      </c>
      <c r="G176" s="484">
        <v>110000</v>
      </c>
      <c r="H176" s="64">
        <v>5000</v>
      </c>
      <c r="I176" s="58"/>
      <c r="J176" s="58"/>
      <c r="K176" s="64">
        <v>105000</v>
      </c>
      <c r="L176" s="54"/>
      <c r="M176" s="57">
        <f t="shared" si="51"/>
        <v>109500</v>
      </c>
      <c r="N176" s="133">
        <v>105000</v>
      </c>
      <c r="O176" s="133"/>
      <c r="P176" s="133"/>
      <c r="Q176" s="133"/>
      <c r="R176" s="133"/>
      <c r="S176" s="19">
        <v>4500</v>
      </c>
      <c r="T176" s="127"/>
      <c r="V176" s="6">
        <f t="shared" si="46"/>
        <v>0</v>
      </c>
    </row>
    <row r="177" spans="1:22" ht="45">
      <c r="A177" s="53">
        <v>8</v>
      </c>
      <c r="B177" s="96" t="s">
        <v>320</v>
      </c>
      <c r="C177" s="15" t="s">
        <v>275</v>
      </c>
      <c r="D177" s="15" t="s">
        <v>26</v>
      </c>
      <c r="E177" s="53" t="s">
        <v>283</v>
      </c>
      <c r="F177" s="157" t="s">
        <v>413</v>
      </c>
      <c r="G177" s="484">
        <v>135600</v>
      </c>
      <c r="H177" s="64">
        <v>82600</v>
      </c>
      <c r="I177" s="58"/>
      <c r="J177" s="58"/>
      <c r="K177" s="64">
        <v>53000</v>
      </c>
      <c r="L177" s="54"/>
      <c r="M177" s="57">
        <f>SUM(N177:S177)</f>
        <v>134900</v>
      </c>
      <c r="N177" s="133">
        <v>53000</v>
      </c>
      <c r="O177" s="133"/>
      <c r="P177" s="133"/>
      <c r="Q177" s="133"/>
      <c r="R177" s="133"/>
      <c r="S177" s="19">
        <v>81900</v>
      </c>
      <c r="T177" s="127"/>
      <c r="V177" s="6">
        <f t="shared" si="46"/>
        <v>0</v>
      </c>
    </row>
    <row r="178" spans="1:22" ht="30">
      <c r="A178" s="53">
        <v>9</v>
      </c>
      <c r="B178" s="96" t="s">
        <v>322</v>
      </c>
      <c r="C178" s="15" t="s">
        <v>275</v>
      </c>
      <c r="D178" s="15" t="s">
        <v>26</v>
      </c>
      <c r="E178" s="53" t="s">
        <v>414</v>
      </c>
      <c r="F178" s="142" t="s">
        <v>415</v>
      </c>
      <c r="G178" s="86">
        <f>SUM(H178:K178)</f>
        <v>112463</v>
      </c>
      <c r="H178" s="64"/>
      <c r="I178" s="64"/>
      <c r="J178" s="64"/>
      <c r="K178" s="64">
        <v>112463</v>
      </c>
      <c r="L178" s="54"/>
      <c r="M178" s="57">
        <f>SUM(N178:S178)</f>
        <v>32086</v>
      </c>
      <c r="N178" s="133"/>
      <c r="O178" s="133"/>
      <c r="P178" s="133"/>
      <c r="Q178" s="133"/>
      <c r="R178" s="133"/>
      <c r="S178" s="19">
        <v>32086</v>
      </c>
      <c r="T178" s="127"/>
      <c r="V178" s="6">
        <f t="shared" si="46"/>
        <v>0</v>
      </c>
    </row>
    <row r="179" spans="1:22">
      <c r="A179" s="478" t="s">
        <v>416</v>
      </c>
      <c r="B179" s="47" t="s">
        <v>417</v>
      </c>
      <c r="C179" s="29"/>
      <c r="D179" s="29"/>
      <c r="E179" s="29"/>
      <c r="F179" s="48">
        <f t="shared" ref="F179:T179" si="53">F180+F186</f>
        <v>0</v>
      </c>
      <c r="G179" s="48">
        <f t="shared" si="53"/>
        <v>6333231.4787099995</v>
      </c>
      <c r="H179" s="48">
        <f t="shared" si="53"/>
        <v>2500646</v>
      </c>
      <c r="I179" s="48">
        <f t="shared" si="53"/>
        <v>232590</v>
      </c>
      <c r="J179" s="48">
        <f t="shared" si="53"/>
        <v>462464</v>
      </c>
      <c r="K179" s="48">
        <f t="shared" si="53"/>
        <v>3137531.4787099999</v>
      </c>
      <c r="L179" s="48">
        <f t="shared" si="53"/>
        <v>2923079.5202820003</v>
      </c>
      <c r="M179" s="48">
        <f t="shared" si="53"/>
        <v>2261867</v>
      </c>
      <c r="N179" s="49">
        <f t="shared" si="53"/>
        <v>484770</v>
      </c>
      <c r="O179" s="49">
        <f t="shared" si="53"/>
        <v>228939</v>
      </c>
      <c r="P179" s="49">
        <f t="shared" si="53"/>
        <v>117398</v>
      </c>
      <c r="Q179" s="49">
        <f t="shared" si="53"/>
        <v>0</v>
      </c>
      <c r="R179" s="49">
        <f t="shared" si="53"/>
        <v>120000</v>
      </c>
      <c r="S179" s="48">
        <f t="shared" si="53"/>
        <v>1310760</v>
      </c>
      <c r="T179" s="50">
        <f t="shared" si="53"/>
        <v>0</v>
      </c>
      <c r="V179" s="6">
        <f t="shared" si="46"/>
        <v>0</v>
      </c>
    </row>
    <row r="180" spans="1:22" s="26" customFormat="1">
      <c r="A180" s="487" t="s">
        <v>37</v>
      </c>
      <c r="B180" s="309" t="s">
        <v>38</v>
      </c>
      <c r="C180" s="15"/>
      <c r="D180" s="15"/>
      <c r="E180" s="15"/>
      <c r="F180" s="488"/>
      <c r="G180" s="489">
        <f>SUM(G181:G185)</f>
        <v>5750</v>
      </c>
      <c r="H180" s="489">
        <f t="shared" ref="H180:T180" si="54">SUM(H181:H185)</f>
        <v>0</v>
      </c>
      <c r="I180" s="489">
        <f t="shared" si="54"/>
        <v>0</v>
      </c>
      <c r="J180" s="489">
        <f t="shared" si="54"/>
        <v>0</v>
      </c>
      <c r="K180" s="489">
        <f t="shared" si="54"/>
        <v>5750</v>
      </c>
      <c r="L180" s="489">
        <f t="shared" si="54"/>
        <v>1480</v>
      </c>
      <c r="M180" s="469">
        <f t="shared" si="54"/>
        <v>2200</v>
      </c>
      <c r="N180" s="470">
        <f t="shared" si="54"/>
        <v>0</v>
      </c>
      <c r="O180" s="470">
        <f t="shared" si="54"/>
        <v>0</v>
      </c>
      <c r="P180" s="470">
        <f t="shared" si="54"/>
        <v>0</v>
      </c>
      <c r="Q180" s="470">
        <f t="shared" si="54"/>
        <v>0</v>
      </c>
      <c r="R180" s="470">
        <f t="shared" si="54"/>
        <v>0</v>
      </c>
      <c r="S180" s="469">
        <f t="shared" si="54"/>
        <v>2200</v>
      </c>
      <c r="T180" s="471">
        <f t="shared" si="54"/>
        <v>0</v>
      </c>
      <c r="V180" s="6">
        <f t="shared" si="46"/>
        <v>0</v>
      </c>
    </row>
    <row r="181" spans="1:22" s="26" customFormat="1" ht="30">
      <c r="A181" s="75">
        <v>1</v>
      </c>
      <c r="B181" s="143" t="s">
        <v>418</v>
      </c>
      <c r="C181" s="32" t="s">
        <v>46</v>
      </c>
      <c r="D181" s="15"/>
      <c r="E181" s="32" t="s">
        <v>41</v>
      </c>
      <c r="F181" s="144" t="s">
        <v>419</v>
      </c>
      <c r="G181" s="99">
        <f>SUM(H181:K181)</f>
        <v>817</v>
      </c>
      <c r="H181" s="64"/>
      <c r="I181" s="64"/>
      <c r="J181" s="64"/>
      <c r="K181" s="64">
        <v>817</v>
      </c>
      <c r="L181" s="64">
        <v>150</v>
      </c>
      <c r="M181" s="19">
        <f>SUM(N181:S181)</f>
        <v>550</v>
      </c>
      <c r="N181" s="145"/>
      <c r="O181" s="145"/>
      <c r="P181" s="145"/>
      <c r="Q181" s="145"/>
      <c r="R181" s="145"/>
      <c r="S181" s="19">
        <v>550</v>
      </c>
      <c r="T181" s="23"/>
      <c r="V181" s="6">
        <f t="shared" si="46"/>
        <v>0</v>
      </c>
    </row>
    <row r="182" spans="1:22" s="26" customFormat="1" ht="75">
      <c r="A182" s="75">
        <v>2</v>
      </c>
      <c r="B182" s="143" t="s">
        <v>420</v>
      </c>
      <c r="C182" s="32" t="s">
        <v>92</v>
      </c>
      <c r="D182" s="15"/>
      <c r="E182" s="32" t="s">
        <v>41</v>
      </c>
      <c r="F182" s="144" t="s">
        <v>421</v>
      </c>
      <c r="G182" s="99">
        <f t="shared" ref="G182:G185" si="55">SUM(H182:K182)</f>
        <v>1214</v>
      </c>
      <c r="H182" s="64"/>
      <c r="I182" s="64"/>
      <c r="J182" s="64"/>
      <c r="K182" s="64">
        <v>1214</v>
      </c>
      <c r="L182" s="64">
        <v>630</v>
      </c>
      <c r="M182" s="19">
        <f t="shared" ref="M182:M185" si="56">SUM(N182:S182)</f>
        <v>450</v>
      </c>
      <c r="N182" s="145"/>
      <c r="O182" s="145"/>
      <c r="P182" s="145"/>
      <c r="Q182" s="145"/>
      <c r="R182" s="145"/>
      <c r="S182" s="19">
        <v>450</v>
      </c>
      <c r="T182" s="23"/>
      <c r="V182" s="6">
        <f t="shared" si="46"/>
        <v>0</v>
      </c>
    </row>
    <row r="183" spans="1:22" s="26" customFormat="1" ht="120">
      <c r="A183" s="75">
        <v>3</v>
      </c>
      <c r="B183" s="143" t="s">
        <v>422</v>
      </c>
      <c r="C183" s="32" t="s">
        <v>64</v>
      </c>
      <c r="D183" s="15"/>
      <c r="E183" s="32" t="s">
        <v>41</v>
      </c>
      <c r="F183" s="144" t="s">
        <v>423</v>
      </c>
      <c r="G183" s="99">
        <f t="shared" si="55"/>
        <v>1604</v>
      </c>
      <c r="H183" s="64"/>
      <c r="I183" s="64"/>
      <c r="J183" s="64"/>
      <c r="K183" s="64">
        <v>1604</v>
      </c>
      <c r="L183" s="64">
        <v>700</v>
      </c>
      <c r="M183" s="19">
        <f t="shared" si="56"/>
        <v>750</v>
      </c>
      <c r="N183" s="145"/>
      <c r="O183" s="145"/>
      <c r="P183" s="145"/>
      <c r="Q183" s="145"/>
      <c r="R183" s="145"/>
      <c r="S183" s="19">
        <v>750</v>
      </c>
      <c r="T183" s="23"/>
      <c r="V183" s="6">
        <f t="shared" si="46"/>
        <v>0</v>
      </c>
    </row>
    <row r="184" spans="1:22" s="26" customFormat="1" ht="98.25" customHeight="1">
      <c r="A184" s="75">
        <v>4</v>
      </c>
      <c r="B184" s="72" t="s">
        <v>424</v>
      </c>
      <c r="C184" s="40" t="s">
        <v>92</v>
      </c>
      <c r="D184" s="15"/>
      <c r="E184" s="40">
        <v>2022</v>
      </c>
      <c r="F184" s="40" t="s">
        <v>425</v>
      </c>
      <c r="G184" s="99">
        <f t="shared" si="55"/>
        <v>1934</v>
      </c>
      <c r="H184" s="64"/>
      <c r="I184" s="64"/>
      <c r="J184" s="64"/>
      <c r="K184" s="64">
        <v>1934</v>
      </c>
      <c r="L184" s="64"/>
      <c r="M184" s="19">
        <f t="shared" si="56"/>
        <v>300</v>
      </c>
      <c r="N184" s="145"/>
      <c r="O184" s="145"/>
      <c r="P184" s="145"/>
      <c r="Q184" s="145"/>
      <c r="R184" s="145"/>
      <c r="S184" s="19">
        <v>300</v>
      </c>
      <c r="T184" s="23"/>
      <c r="V184" s="6">
        <f t="shared" si="46"/>
        <v>0</v>
      </c>
    </row>
    <row r="185" spans="1:22" s="26" customFormat="1" ht="30">
      <c r="A185" s="75">
        <v>5</v>
      </c>
      <c r="B185" s="59" t="s">
        <v>426</v>
      </c>
      <c r="C185" s="32" t="s">
        <v>40</v>
      </c>
      <c r="D185" s="15"/>
      <c r="E185" s="32" t="s">
        <v>41</v>
      </c>
      <c r="F185" s="38" t="s">
        <v>427</v>
      </c>
      <c r="G185" s="99">
        <f t="shared" si="55"/>
        <v>181</v>
      </c>
      <c r="H185" s="64"/>
      <c r="I185" s="64"/>
      <c r="J185" s="64"/>
      <c r="K185" s="64">
        <v>181</v>
      </c>
      <c r="L185" s="64"/>
      <c r="M185" s="19">
        <f t="shared" si="56"/>
        <v>150</v>
      </c>
      <c r="N185" s="145"/>
      <c r="O185" s="145"/>
      <c r="P185" s="145"/>
      <c r="Q185" s="145"/>
      <c r="R185" s="145"/>
      <c r="S185" s="19">
        <v>150</v>
      </c>
      <c r="T185" s="23"/>
      <c r="V185" s="6">
        <f t="shared" si="46"/>
        <v>0</v>
      </c>
    </row>
    <row r="186" spans="1:22" s="2" customFormat="1">
      <c r="A186" s="87" t="s">
        <v>69</v>
      </c>
      <c r="B186" s="47" t="s">
        <v>70</v>
      </c>
      <c r="C186" s="29"/>
      <c r="D186" s="29"/>
      <c r="E186" s="29"/>
      <c r="F186" s="29">
        <f t="shared" ref="F186:T186" si="57">F187+F200+F212</f>
        <v>0</v>
      </c>
      <c r="G186" s="58">
        <f t="shared" si="57"/>
        <v>6327481.4787099995</v>
      </c>
      <c r="H186" s="58">
        <f t="shared" si="57"/>
        <v>2500646</v>
      </c>
      <c r="I186" s="58">
        <f t="shared" si="57"/>
        <v>232590</v>
      </c>
      <c r="J186" s="58">
        <f t="shared" si="57"/>
        <v>462464</v>
      </c>
      <c r="K186" s="58">
        <f t="shared" si="57"/>
        <v>3131781.4787099999</v>
      </c>
      <c r="L186" s="58">
        <f t="shared" si="57"/>
        <v>2921599.5202820003</v>
      </c>
      <c r="M186" s="48">
        <f t="shared" si="57"/>
        <v>2259667</v>
      </c>
      <c r="N186" s="49">
        <f t="shared" si="57"/>
        <v>484770</v>
      </c>
      <c r="O186" s="49">
        <f t="shared" si="57"/>
        <v>228939</v>
      </c>
      <c r="P186" s="49">
        <f t="shared" si="57"/>
        <v>117398</v>
      </c>
      <c r="Q186" s="49">
        <f t="shared" si="57"/>
        <v>0</v>
      </c>
      <c r="R186" s="49">
        <f t="shared" si="57"/>
        <v>120000</v>
      </c>
      <c r="S186" s="48">
        <f t="shared" si="57"/>
        <v>1308560</v>
      </c>
      <c r="T186" s="50">
        <f t="shared" si="57"/>
        <v>0</v>
      </c>
      <c r="V186" s="6">
        <f t="shared" si="46"/>
        <v>0</v>
      </c>
    </row>
    <row r="187" spans="1:22" s="2" customFormat="1" ht="28.5">
      <c r="A187" s="87" t="s">
        <v>71</v>
      </c>
      <c r="B187" s="47" t="s">
        <v>72</v>
      </c>
      <c r="C187" s="29"/>
      <c r="D187" s="29"/>
      <c r="E187" s="29"/>
      <c r="F187" s="29"/>
      <c r="G187" s="58">
        <f>SUM(G188:G199)</f>
        <v>2616594</v>
      </c>
      <c r="H187" s="58">
        <f t="shared" ref="H187:T187" si="58">SUM(H188:H199)</f>
        <v>1267894</v>
      </c>
      <c r="I187" s="58">
        <f t="shared" si="58"/>
        <v>15155</v>
      </c>
      <c r="J187" s="58">
        <f t="shared" si="58"/>
        <v>0</v>
      </c>
      <c r="K187" s="58">
        <f t="shared" si="58"/>
        <v>1333545</v>
      </c>
      <c r="L187" s="58">
        <f t="shared" si="58"/>
        <v>1801921.173282</v>
      </c>
      <c r="M187" s="48">
        <f t="shared" si="58"/>
        <v>16814</v>
      </c>
      <c r="N187" s="49">
        <f t="shared" si="58"/>
        <v>0</v>
      </c>
      <c r="O187" s="49">
        <f t="shared" si="58"/>
        <v>0</v>
      </c>
      <c r="P187" s="49">
        <f t="shared" si="58"/>
        <v>0</v>
      </c>
      <c r="Q187" s="49">
        <f t="shared" si="58"/>
        <v>0</v>
      </c>
      <c r="R187" s="49">
        <f t="shared" si="58"/>
        <v>0</v>
      </c>
      <c r="S187" s="48">
        <f t="shared" si="58"/>
        <v>16814</v>
      </c>
      <c r="T187" s="50">
        <f t="shared" si="58"/>
        <v>0</v>
      </c>
      <c r="V187" s="6">
        <f t="shared" si="46"/>
        <v>0</v>
      </c>
    </row>
    <row r="188" spans="1:22" ht="60">
      <c r="A188" s="12">
        <v>1</v>
      </c>
      <c r="B188" s="92" t="s">
        <v>428</v>
      </c>
      <c r="C188" s="53" t="s">
        <v>429</v>
      </c>
      <c r="D188" s="12" t="s">
        <v>26</v>
      </c>
      <c r="E188" s="53" t="s">
        <v>430</v>
      </c>
      <c r="F188" s="53" t="s">
        <v>431</v>
      </c>
      <c r="G188" s="54">
        <f t="shared" ref="G188:G197" si="59">SUM(H188:K188)</f>
        <v>1554508</v>
      </c>
      <c r="H188" s="56">
        <v>711408</v>
      </c>
      <c r="I188" s="55"/>
      <c r="J188" s="56"/>
      <c r="K188" s="56">
        <v>843100</v>
      </c>
      <c r="L188" s="56">
        <v>822230</v>
      </c>
      <c r="M188" s="57">
        <f t="shared" ref="M188:M197" si="60">SUM(N188:S188)</f>
        <v>8000</v>
      </c>
      <c r="N188" s="55">
        <v>0</v>
      </c>
      <c r="O188" s="55">
        <v>0</v>
      </c>
      <c r="P188" s="55">
        <v>0</v>
      </c>
      <c r="Q188" s="55"/>
      <c r="R188" s="55"/>
      <c r="S188" s="57">
        <v>8000</v>
      </c>
      <c r="T188" s="37"/>
      <c r="V188" s="6">
        <f t="shared" si="46"/>
        <v>0</v>
      </c>
    </row>
    <row r="189" spans="1:22" ht="30">
      <c r="A189" s="53">
        <v>2</v>
      </c>
      <c r="B189" s="59" t="s">
        <v>432</v>
      </c>
      <c r="C189" s="53" t="s">
        <v>46</v>
      </c>
      <c r="D189" s="53" t="s">
        <v>26</v>
      </c>
      <c r="E189" s="53" t="s">
        <v>433</v>
      </c>
      <c r="F189" s="53" t="s">
        <v>434</v>
      </c>
      <c r="G189" s="54">
        <f t="shared" si="59"/>
        <v>155321</v>
      </c>
      <c r="H189" s="54">
        <v>46596</v>
      </c>
      <c r="I189" s="54"/>
      <c r="J189" s="54"/>
      <c r="K189" s="54">
        <v>108725</v>
      </c>
      <c r="L189" s="54">
        <v>129289</v>
      </c>
      <c r="M189" s="57">
        <f t="shared" si="60"/>
        <v>3000</v>
      </c>
      <c r="N189" s="61"/>
      <c r="O189" s="61"/>
      <c r="P189" s="61"/>
      <c r="Q189" s="61"/>
      <c r="R189" s="61"/>
      <c r="S189" s="68">
        <v>3000</v>
      </c>
      <c r="T189" s="37"/>
      <c r="V189" s="6">
        <f t="shared" si="46"/>
        <v>0</v>
      </c>
    </row>
    <row r="190" spans="1:22" ht="30">
      <c r="A190" s="12">
        <v>3</v>
      </c>
      <c r="B190" s="52" t="s">
        <v>435</v>
      </c>
      <c r="C190" s="53" t="s">
        <v>52</v>
      </c>
      <c r="D190" s="53" t="s">
        <v>26</v>
      </c>
      <c r="E190" s="53" t="s">
        <v>436</v>
      </c>
      <c r="F190" s="53" t="s">
        <v>437</v>
      </c>
      <c r="G190" s="54">
        <f t="shared" si="59"/>
        <v>135732</v>
      </c>
      <c r="H190" s="54">
        <v>76518</v>
      </c>
      <c r="I190" s="54"/>
      <c r="J190" s="54"/>
      <c r="K190" s="54">
        <v>59214</v>
      </c>
      <c r="L190" s="124">
        <v>121605</v>
      </c>
      <c r="M190" s="57">
        <f t="shared" si="60"/>
        <v>531</v>
      </c>
      <c r="N190" s="61"/>
      <c r="O190" s="61"/>
      <c r="P190" s="61"/>
      <c r="Q190" s="61"/>
      <c r="R190" s="61"/>
      <c r="S190" s="68">
        <v>531</v>
      </c>
      <c r="T190" s="37"/>
      <c r="V190" s="6">
        <f t="shared" si="46"/>
        <v>0</v>
      </c>
    </row>
    <row r="191" spans="1:22" ht="30">
      <c r="A191" s="53">
        <v>4</v>
      </c>
      <c r="B191" s="52" t="s">
        <v>438</v>
      </c>
      <c r="C191" s="53" t="s">
        <v>64</v>
      </c>
      <c r="D191" s="53" t="s">
        <v>26</v>
      </c>
      <c r="E191" s="53" t="s">
        <v>439</v>
      </c>
      <c r="F191" s="53" t="s">
        <v>440</v>
      </c>
      <c r="G191" s="54">
        <f t="shared" si="59"/>
        <v>416743</v>
      </c>
      <c r="H191" s="54">
        <v>208372</v>
      </c>
      <c r="I191" s="54"/>
      <c r="J191" s="54"/>
      <c r="K191" s="54">
        <v>208371</v>
      </c>
      <c r="L191" s="124">
        <v>405195.173282</v>
      </c>
      <c r="M191" s="57">
        <f t="shared" si="60"/>
        <v>1075</v>
      </c>
      <c r="N191" s="61"/>
      <c r="O191" s="61"/>
      <c r="P191" s="61"/>
      <c r="Q191" s="61"/>
      <c r="R191" s="61"/>
      <c r="S191" s="68">
        <v>1075</v>
      </c>
      <c r="T191" s="37"/>
      <c r="V191" s="6">
        <f t="shared" si="46"/>
        <v>0</v>
      </c>
    </row>
    <row r="192" spans="1:22" ht="75">
      <c r="A192" s="12">
        <v>5</v>
      </c>
      <c r="B192" s="59" t="s">
        <v>441</v>
      </c>
      <c r="C192" s="53" t="s">
        <v>442</v>
      </c>
      <c r="D192" s="53" t="s">
        <v>26</v>
      </c>
      <c r="E192" s="53" t="s">
        <v>227</v>
      </c>
      <c r="F192" s="144" t="s">
        <v>443</v>
      </c>
      <c r="G192" s="54">
        <f t="shared" si="59"/>
        <v>120910</v>
      </c>
      <c r="H192" s="54">
        <v>107000</v>
      </c>
      <c r="I192" s="54"/>
      <c r="J192" s="54"/>
      <c r="K192" s="54">
        <v>13910</v>
      </c>
      <c r="L192" s="60">
        <v>112300</v>
      </c>
      <c r="M192" s="57">
        <f t="shared" si="60"/>
        <v>500</v>
      </c>
      <c r="N192" s="61"/>
      <c r="O192" s="61"/>
      <c r="P192" s="61"/>
      <c r="Q192" s="61"/>
      <c r="R192" s="61"/>
      <c r="S192" s="68">
        <v>500</v>
      </c>
      <c r="T192" s="37"/>
      <c r="V192" s="6">
        <f t="shared" si="46"/>
        <v>0</v>
      </c>
    </row>
    <row r="193" spans="1:22" ht="30">
      <c r="A193" s="53">
        <v>6</v>
      </c>
      <c r="B193" s="59" t="s">
        <v>444</v>
      </c>
      <c r="C193" s="53" t="s">
        <v>67</v>
      </c>
      <c r="D193" s="53" t="s">
        <v>31</v>
      </c>
      <c r="E193" s="53" t="s">
        <v>41</v>
      </c>
      <c r="F193" s="53" t="s">
        <v>445</v>
      </c>
      <c r="G193" s="54">
        <f t="shared" si="59"/>
        <v>14892</v>
      </c>
      <c r="H193" s="54"/>
      <c r="I193" s="54"/>
      <c r="J193" s="54"/>
      <c r="K193" s="54">
        <v>14892</v>
      </c>
      <c r="L193" s="60">
        <v>13900</v>
      </c>
      <c r="M193" s="57">
        <f t="shared" si="60"/>
        <v>100</v>
      </c>
      <c r="N193" s="61"/>
      <c r="O193" s="61"/>
      <c r="P193" s="61"/>
      <c r="Q193" s="61"/>
      <c r="R193" s="61"/>
      <c r="S193" s="68">
        <v>100</v>
      </c>
      <c r="T193" s="37"/>
      <c r="V193" s="6">
        <f t="shared" si="46"/>
        <v>0</v>
      </c>
    </row>
    <row r="194" spans="1:22" ht="30">
      <c r="A194" s="12">
        <v>7</v>
      </c>
      <c r="B194" s="59" t="s">
        <v>446</v>
      </c>
      <c r="C194" s="53" t="s">
        <v>67</v>
      </c>
      <c r="D194" s="53" t="s">
        <v>31</v>
      </c>
      <c r="E194" s="53" t="s">
        <v>41</v>
      </c>
      <c r="F194" s="53" t="s">
        <v>447</v>
      </c>
      <c r="G194" s="54">
        <f t="shared" si="59"/>
        <v>14885</v>
      </c>
      <c r="H194" s="54"/>
      <c r="I194" s="54"/>
      <c r="J194" s="54"/>
      <c r="K194" s="54">
        <v>14885</v>
      </c>
      <c r="L194" s="60">
        <v>13900</v>
      </c>
      <c r="M194" s="57">
        <f t="shared" si="60"/>
        <v>100</v>
      </c>
      <c r="N194" s="61"/>
      <c r="O194" s="61"/>
      <c r="P194" s="61"/>
      <c r="Q194" s="61"/>
      <c r="R194" s="61"/>
      <c r="S194" s="68">
        <v>100</v>
      </c>
      <c r="T194" s="37"/>
      <c r="V194" s="6">
        <f t="shared" si="46"/>
        <v>0</v>
      </c>
    </row>
    <row r="195" spans="1:22" ht="30">
      <c r="A195" s="53">
        <v>8</v>
      </c>
      <c r="B195" s="59" t="s">
        <v>448</v>
      </c>
      <c r="C195" s="53" t="s">
        <v>52</v>
      </c>
      <c r="D195" s="53" t="s">
        <v>31</v>
      </c>
      <c r="E195" s="53" t="s">
        <v>41</v>
      </c>
      <c r="F195" s="53" t="s">
        <v>449</v>
      </c>
      <c r="G195" s="54">
        <f t="shared" si="59"/>
        <v>14895</v>
      </c>
      <c r="H195" s="54"/>
      <c r="I195" s="54"/>
      <c r="J195" s="54"/>
      <c r="K195" s="54">
        <v>14895</v>
      </c>
      <c r="L195" s="60">
        <v>13900</v>
      </c>
      <c r="M195" s="57">
        <f t="shared" si="60"/>
        <v>100</v>
      </c>
      <c r="N195" s="61"/>
      <c r="O195" s="61"/>
      <c r="P195" s="61"/>
      <c r="Q195" s="61"/>
      <c r="R195" s="61"/>
      <c r="S195" s="68">
        <v>100</v>
      </c>
      <c r="T195" s="37"/>
      <c r="V195" s="6">
        <f t="shared" si="46"/>
        <v>0</v>
      </c>
    </row>
    <row r="196" spans="1:22" ht="45">
      <c r="A196" s="53">
        <v>9</v>
      </c>
      <c r="B196" s="59" t="s">
        <v>450</v>
      </c>
      <c r="C196" s="53" t="s">
        <v>52</v>
      </c>
      <c r="D196" s="53" t="s">
        <v>31</v>
      </c>
      <c r="E196" s="53" t="s">
        <v>451</v>
      </c>
      <c r="F196" s="53" t="s">
        <v>452</v>
      </c>
      <c r="G196" s="54">
        <f t="shared" si="59"/>
        <v>23077</v>
      </c>
      <c r="H196" s="54"/>
      <c r="I196" s="54">
        <v>15155</v>
      </c>
      <c r="J196" s="54"/>
      <c r="K196" s="54">
        <v>7922</v>
      </c>
      <c r="L196" s="60">
        <v>20540</v>
      </c>
      <c r="M196" s="57">
        <f t="shared" si="60"/>
        <v>37</v>
      </c>
      <c r="N196" s="61"/>
      <c r="O196" s="61"/>
      <c r="P196" s="61"/>
      <c r="Q196" s="61"/>
      <c r="R196" s="61"/>
      <c r="S196" s="68">
        <v>37</v>
      </c>
      <c r="T196" s="37"/>
      <c r="V196" s="6">
        <f t="shared" si="46"/>
        <v>0</v>
      </c>
    </row>
    <row r="197" spans="1:22" ht="30">
      <c r="A197" s="53">
        <v>10</v>
      </c>
      <c r="B197" s="59" t="s">
        <v>453</v>
      </c>
      <c r="C197" s="53" t="s">
        <v>64</v>
      </c>
      <c r="D197" s="53" t="s">
        <v>31</v>
      </c>
      <c r="E197" s="53" t="s">
        <v>454</v>
      </c>
      <c r="F197" s="53" t="s">
        <v>455</v>
      </c>
      <c r="G197" s="54">
        <f t="shared" si="59"/>
        <v>45775</v>
      </c>
      <c r="H197" s="54">
        <v>35000</v>
      </c>
      <c r="I197" s="54"/>
      <c r="J197" s="54"/>
      <c r="K197" s="54">
        <v>10775</v>
      </c>
      <c r="L197" s="60">
        <v>45246</v>
      </c>
      <c r="M197" s="57">
        <f t="shared" si="60"/>
        <v>134</v>
      </c>
      <c r="N197" s="61"/>
      <c r="O197" s="61"/>
      <c r="P197" s="61"/>
      <c r="Q197" s="61"/>
      <c r="R197" s="61"/>
      <c r="S197" s="68">
        <v>134</v>
      </c>
      <c r="T197" s="37"/>
      <c r="V197" s="6">
        <f t="shared" si="46"/>
        <v>0</v>
      </c>
    </row>
    <row r="198" spans="1:22" ht="30">
      <c r="A198" s="12">
        <v>11</v>
      </c>
      <c r="B198" s="59" t="s">
        <v>456</v>
      </c>
      <c r="C198" s="53" t="s">
        <v>97</v>
      </c>
      <c r="D198" s="53" t="s">
        <v>26</v>
      </c>
      <c r="E198" s="53" t="s">
        <v>331</v>
      </c>
      <c r="F198" s="53" t="s">
        <v>457</v>
      </c>
      <c r="G198" s="54">
        <f>SUM(H198:K198)</f>
        <v>99478</v>
      </c>
      <c r="H198" s="60">
        <v>83000</v>
      </c>
      <c r="I198" s="60"/>
      <c r="J198" s="60"/>
      <c r="K198" s="60">
        <v>16478</v>
      </c>
      <c r="L198" s="60">
        <v>83365</v>
      </c>
      <c r="M198" s="57">
        <f>SUM(N198:S198)</f>
        <v>3200</v>
      </c>
      <c r="N198" s="61"/>
      <c r="O198" s="61"/>
      <c r="P198" s="61"/>
      <c r="Q198" s="61"/>
      <c r="R198" s="61"/>
      <c r="S198" s="68">
        <v>3200</v>
      </c>
      <c r="T198" s="69"/>
      <c r="V198" s="6">
        <f t="shared" si="46"/>
        <v>0</v>
      </c>
    </row>
    <row r="199" spans="1:22" ht="90">
      <c r="A199" s="12">
        <v>12</v>
      </c>
      <c r="B199" s="59" t="s">
        <v>458</v>
      </c>
      <c r="C199" s="53" t="s">
        <v>52</v>
      </c>
      <c r="D199" s="53" t="s">
        <v>31</v>
      </c>
      <c r="E199" s="53" t="s">
        <v>369</v>
      </c>
      <c r="F199" s="73" t="s">
        <v>459</v>
      </c>
      <c r="G199" s="54">
        <v>20378</v>
      </c>
      <c r="H199" s="54"/>
      <c r="I199" s="54"/>
      <c r="J199" s="54"/>
      <c r="K199" s="54">
        <v>20378</v>
      </c>
      <c r="L199" s="54">
        <v>20451</v>
      </c>
      <c r="M199" s="57">
        <f>SUM(N199:S199)</f>
        <v>37</v>
      </c>
      <c r="N199" s="130"/>
      <c r="O199" s="130"/>
      <c r="P199" s="130"/>
      <c r="Q199" s="130"/>
      <c r="R199" s="130"/>
      <c r="S199" s="122">
        <v>37</v>
      </c>
      <c r="T199" s="131"/>
      <c r="V199" s="6">
        <f t="shared" si="46"/>
        <v>0</v>
      </c>
    </row>
    <row r="200" spans="1:22">
      <c r="A200" s="46" t="s">
        <v>82</v>
      </c>
      <c r="B200" s="47" t="s">
        <v>83</v>
      </c>
      <c r="C200" s="53"/>
      <c r="D200" s="53"/>
      <c r="E200" s="53"/>
      <c r="F200" s="53"/>
      <c r="G200" s="58">
        <f t="shared" ref="G200:S200" si="61">SUM(G201:G211)</f>
        <v>2419653</v>
      </c>
      <c r="H200" s="58">
        <f t="shared" si="61"/>
        <v>776534</v>
      </c>
      <c r="I200" s="58">
        <f t="shared" si="61"/>
        <v>217435</v>
      </c>
      <c r="J200" s="58">
        <f t="shared" si="61"/>
        <v>462464</v>
      </c>
      <c r="K200" s="58">
        <f t="shared" si="61"/>
        <v>963220</v>
      </c>
      <c r="L200" s="58">
        <f t="shared" si="61"/>
        <v>1117980.3470000001</v>
      </c>
      <c r="M200" s="48">
        <f t="shared" si="61"/>
        <v>1274409</v>
      </c>
      <c r="N200" s="49">
        <f t="shared" si="61"/>
        <v>384770</v>
      </c>
      <c r="O200" s="49">
        <f t="shared" si="61"/>
        <v>228939</v>
      </c>
      <c r="P200" s="49">
        <f t="shared" si="61"/>
        <v>117398</v>
      </c>
      <c r="Q200" s="49">
        <f t="shared" si="61"/>
        <v>0</v>
      </c>
      <c r="R200" s="49">
        <f t="shared" si="61"/>
        <v>0</v>
      </c>
      <c r="S200" s="48">
        <f t="shared" si="61"/>
        <v>543302</v>
      </c>
      <c r="T200" s="37"/>
      <c r="V200" s="6">
        <f t="shared" si="46"/>
        <v>0</v>
      </c>
    </row>
    <row r="201" spans="1:22" ht="60">
      <c r="A201" s="12">
        <v>1</v>
      </c>
      <c r="B201" s="92" t="s">
        <v>460</v>
      </c>
      <c r="C201" s="53" t="s">
        <v>461</v>
      </c>
      <c r="D201" s="53" t="s">
        <v>26</v>
      </c>
      <c r="E201" s="53" t="s">
        <v>462</v>
      </c>
      <c r="F201" s="107" t="s">
        <v>463</v>
      </c>
      <c r="G201" s="54">
        <f t="shared" ref="G201:G211" si="62">SUM(H201:K201)</f>
        <v>1095361</v>
      </c>
      <c r="H201" s="56"/>
      <c r="I201" s="128">
        <v>7999</v>
      </c>
      <c r="J201" s="56">
        <v>462464</v>
      </c>
      <c r="K201" s="108">
        <v>624898</v>
      </c>
      <c r="L201" s="56">
        <v>524275.34700000007</v>
      </c>
      <c r="M201" s="57">
        <f t="shared" ref="M201:M211" si="63">SUM(N201:S201)</f>
        <v>520081</v>
      </c>
      <c r="N201" s="55">
        <v>0</v>
      </c>
      <c r="O201" s="146">
        <f>82505+39294</f>
        <v>121799</v>
      </c>
      <c r="P201" s="146">
        <f>78898+38500</f>
        <v>117398</v>
      </c>
      <c r="Q201" s="146"/>
      <c r="R201" s="146"/>
      <c r="S201" s="65">
        <f>47065+283819-50000</f>
        <v>280884</v>
      </c>
      <c r="T201" s="37"/>
      <c r="V201" s="6">
        <f t="shared" si="46"/>
        <v>0</v>
      </c>
    </row>
    <row r="202" spans="1:22" ht="60">
      <c r="A202" s="53">
        <v>2</v>
      </c>
      <c r="B202" s="59" t="s">
        <v>464</v>
      </c>
      <c r="C202" s="11" t="s">
        <v>465</v>
      </c>
      <c r="D202" s="147" t="s">
        <v>26</v>
      </c>
      <c r="E202" s="147" t="s">
        <v>466</v>
      </c>
      <c r="F202" s="148" t="s">
        <v>467</v>
      </c>
      <c r="G202" s="54">
        <f t="shared" si="62"/>
        <v>298890</v>
      </c>
      <c r="H202" s="54"/>
      <c r="I202" s="149">
        <v>209436</v>
      </c>
      <c r="J202" s="54"/>
      <c r="K202" s="54">
        <f>77194+12260</f>
        <v>89454</v>
      </c>
      <c r="L202" s="54">
        <v>139200</v>
      </c>
      <c r="M202" s="57">
        <f t="shared" si="63"/>
        <v>134772</v>
      </c>
      <c r="N202" s="61"/>
      <c r="O202" s="61">
        <v>107140</v>
      </c>
      <c r="P202" s="61"/>
      <c r="Q202" s="61"/>
      <c r="R202" s="61"/>
      <c r="S202" s="68">
        <f>37632-10000</f>
        <v>27632</v>
      </c>
      <c r="T202" s="37"/>
      <c r="V202" s="6">
        <f t="shared" si="46"/>
        <v>0</v>
      </c>
    </row>
    <row r="203" spans="1:22" ht="45">
      <c r="A203" s="12">
        <v>3</v>
      </c>
      <c r="B203" s="143" t="s">
        <v>468</v>
      </c>
      <c r="C203" s="53" t="s">
        <v>165</v>
      </c>
      <c r="D203" s="53" t="s">
        <v>26</v>
      </c>
      <c r="E203" s="53" t="s">
        <v>469</v>
      </c>
      <c r="F203" s="53" t="s">
        <v>470</v>
      </c>
      <c r="G203" s="54">
        <f t="shared" si="62"/>
        <v>314937</v>
      </c>
      <c r="H203" s="54">
        <v>252931</v>
      </c>
      <c r="I203" s="54"/>
      <c r="J203" s="54"/>
      <c r="K203" s="54">
        <v>62006</v>
      </c>
      <c r="L203" s="67">
        <f>252931+30512</f>
        <v>283443</v>
      </c>
      <c r="M203" s="57">
        <f t="shared" si="63"/>
        <v>80810</v>
      </c>
      <c r="N203" s="66"/>
      <c r="O203" s="66"/>
      <c r="P203" s="66"/>
      <c r="Q203" s="66"/>
      <c r="R203" s="66"/>
      <c r="S203" s="67">
        <f>31494+49316</f>
        <v>80810</v>
      </c>
      <c r="T203" s="37"/>
      <c r="V203" s="6">
        <f t="shared" si="46"/>
        <v>0</v>
      </c>
    </row>
    <row r="204" spans="1:22" ht="45">
      <c r="A204" s="53">
        <v>4</v>
      </c>
      <c r="B204" s="143" t="s">
        <v>471</v>
      </c>
      <c r="C204" s="53" t="s">
        <v>92</v>
      </c>
      <c r="D204" s="53" t="s">
        <v>31</v>
      </c>
      <c r="E204" s="53" t="s">
        <v>59</v>
      </c>
      <c r="F204" s="53" t="s">
        <v>472</v>
      </c>
      <c r="G204" s="54">
        <f t="shared" si="62"/>
        <v>14613</v>
      </c>
      <c r="H204" s="54"/>
      <c r="I204" s="54"/>
      <c r="J204" s="54"/>
      <c r="K204" s="54">
        <v>14613</v>
      </c>
      <c r="L204" s="67">
        <v>14240</v>
      </c>
      <c r="M204" s="57">
        <f t="shared" si="63"/>
        <v>373</v>
      </c>
      <c r="N204" s="66"/>
      <c r="O204" s="66"/>
      <c r="P204" s="66"/>
      <c r="Q204" s="66"/>
      <c r="R204" s="66"/>
      <c r="S204" s="67">
        <v>373</v>
      </c>
      <c r="T204" s="37"/>
      <c r="V204" s="6">
        <f t="shared" si="46"/>
        <v>0</v>
      </c>
    </row>
    <row r="205" spans="1:22" ht="30">
      <c r="A205" s="12">
        <v>5</v>
      </c>
      <c r="B205" s="143" t="s">
        <v>473</v>
      </c>
      <c r="C205" s="53" t="s">
        <v>52</v>
      </c>
      <c r="D205" s="53" t="s">
        <v>26</v>
      </c>
      <c r="E205" s="53" t="s">
        <v>245</v>
      </c>
      <c r="F205" s="53" t="s">
        <v>474</v>
      </c>
      <c r="G205" s="54">
        <f t="shared" si="62"/>
        <v>195851</v>
      </c>
      <c r="H205" s="54">
        <v>149493</v>
      </c>
      <c r="I205" s="54"/>
      <c r="J205" s="54"/>
      <c r="K205" s="54">
        <v>46358</v>
      </c>
      <c r="L205" s="67">
        <v>19833</v>
      </c>
      <c r="M205" s="57">
        <f t="shared" si="63"/>
        <v>203424</v>
      </c>
      <c r="N205" s="66">
        <v>130660</v>
      </c>
      <c r="O205" s="66"/>
      <c r="P205" s="66"/>
      <c r="Q205" s="66"/>
      <c r="R205" s="66"/>
      <c r="S205" s="67">
        <f>45000+27764</f>
        <v>72764</v>
      </c>
      <c r="T205" s="37"/>
      <c r="V205" s="6">
        <f t="shared" si="46"/>
        <v>0</v>
      </c>
    </row>
    <row r="206" spans="1:22" ht="60">
      <c r="A206" s="53">
        <v>6</v>
      </c>
      <c r="B206" s="143" t="s">
        <v>475</v>
      </c>
      <c r="C206" s="53" t="s">
        <v>64</v>
      </c>
      <c r="D206" s="53" t="s">
        <v>26</v>
      </c>
      <c r="E206" s="53" t="s">
        <v>245</v>
      </c>
      <c r="F206" s="53" t="s">
        <v>476</v>
      </c>
      <c r="G206" s="54">
        <f t="shared" si="62"/>
        <v>223056</v>
      </c>
      <c r="H206" s="54">
        <v>204110</v>
      </c>
      <c r="I206" s="54"/>
      <c r="J206" s="54"/>
      <c r="K206" s="54">
        <v>18946</v>
      </c>
      <c r="L206" s="60">
        <v>16000</v>
      </c>
      <c r="M206" s="57">
        <f t="shared" si="63"/>
        <v>207056</v>
      </c>
      <c r="N206" s="66">
        <v>189110</v>
      </c>
      <c r="O206" s="66"/>
      <c r="P206" s="66"/>
      <c r="Q206" s="66"/>
      <c r="R206" s="66"/>
      <c r="S206" s="67">
        <v>17946</v>
      </c>
      <c r="T206" s="37"/>
      <c r="V206" s="6">
        <f t="shared" si="46"/>
        <v>0</v>
      </c>
    </row>
    <row r="207" spans="1:22" ht="45">
      <c r="A207" s="12">
        <v>7</v>
      </c>
      <c r="B207" s="143" t="s">
        <v>477</v>
      </c>
      <c r="C207" s="53" t="s">
        <v>64</v>
      </c>
      <c r="D207" s="53" t="s">
        <v>26</v>
      </c>
      <c r="E207" s="53" t="s">
        <v>245</v>
      </c>
      <c r="F207" s="53" t="s">
        <v>478</v>
      </c>
      <c r="G207" s="54">
        <f t="shared" si="62"/>
        <v>116983</v>
      </c>
      <c r="H207" s="54">
        <v>80000</v>
      </c>
      <c r="I207" s="54"/>
      <c r="J207" s="54"/>
      <c r="K207" s="54">
        <v>36983</v>
      </c>
      <c r="L207" s="60">
        <v>15750</v>
      </c>
      <c r="M207" s="57">
        <f t="shared" si="63"/>
        <v>81000</v>
      </c>
      <c r="N207" s="66">
        <v>65000</v>
      </c>
      <c r="O207" s="66"/>
      <c r="P207" s="66"/>
      <c r="Q207" s="66"/>
      <c r="R207" s="66"/>
      <c r="S207" s="67">
        <f>36000-20000</f>
        <v>16000</v>
      </c>
      <c r="T207" s="37"/>
      <c r="V207" s="6">
        <f t="shared" si="46"/>
        <v>0</v>
      </c>
    </row>
    <row r="208" spans="1:22" ht="45">
      <c r="A208" s="53">
        <v>8</v>
      </c>
      <c r="B208" s="72" t="s">
        <v>479</v>
      </c>
      <c r="C208" s="53" t="s">
        <v>58</v>
      </c>
      <c r="D208" s="40" t="s">
        <v>31</v>
      </c>
      <c r="E208" s="53" t="s">
        <v>59</v>
      </c>
      <c r="F208" s="53" t="s">
        <v>480</v>
      </c>
      <c r="G208" s="54">
        <f t="shared" si="62"/>
        <v>14644</v>
      </c>
      <c r="H208" s="99"/>
      <c r="I208" s="99"/>
      <c r="J208" s="99"/>
      <c r="K208" s="99">
        <v>14644</v>
      </c>
      <c r="L208" s="60">
        <v>7000</v>
      </c>
      <c r="M208" s="57">
        <f t="shared" si="63"/>
        <v>7644</v>
      </c>
      <c r="N208" s="150"/>
      <c r="O208" s="66"/>
      <c r="P208" s="66"/>
      <c r="Q208" s="66"/>
      <c r="R208" s="66"/>
      <c r="S208" s="67">
        <v>7644</v>
      </c>
      <c r="T208" s="37"/>
      <c r="V208" s="6">
        <f t="shared" si="46"/>
        <v>0</v>
      </c>
    </row>
    <row r="209" spans="1:22" ht="60">
      <c r="A209" s="12">
        <v>9</v>
      </c>
      <c r="B209" s="72" t="s">
        <v>481</v>
      </c>
      <c r="C209" s="53" t="s">
        <v>64</v>
      </c>
      <c r="D209" s="40" t="s">
        <v>31</v>
      </c>
      <c r="E209" s="53" t="s">
        <v>59</v>
      </c>
      <c r="F209" s="53" t="s">
        <v>482</v>
      </c>
      <c r="G209" s="54">
        <f t="shared" si="62"/>
        <v>14821</v>
      </c>
      <c r="H209" s="99"/>
      <c r="I209" s="99"/>
      <c r="J209" s="99"/>
      <c r="K209" s="99">
        <v>14821</v>
      </c>
      <c r="L209" s="60">
        <v>7649</v>
      </c>
      <c r="M209" s="57">
        <f t="shared" si="63"/>
        <v>7172</v>
      </c>
      <c r="N209" s="150"/>
      <c r="O209" s="66"/>
      <c r="P209" s="66"/>
      <c r="Q209" s="66"/>
      <c r="R209" s="66"/>
      <c r="S209" s="67">
        <v>7172</v>
      </c>
      <c r="T209" s="37"/>
      <c r="V209" s="6">
        <f t="shared" si="46"/>
        <v>0</v>
      </c>
    </row>
    <row r="210" spans="1:22" ht="30">
      <c r="A210" s="53">
        <v>10</v>
      </c>
      <c r="B210" s="143" t="s">
        <v>483</v>
      </c>
      <c r="C210" s="53" t="s">
        <v>92</v>
      </c>
      <c r="D210" s="53" t="s">
        <v>31</v>
      </c>
      <c r="E210" s="53" t="s">
        <v>59</v>
      </c>
      <c r="F210" s="53" t="s">
        <v>484</v>
      </c>
      <c r="G210" s="54">
        <f t="shared" si="62"/>
        <v>81066</v>
      </c>
      <c r="H210" s="99">
        <v>60000</v>
      </c>
      <c r="I210" s="99"/>
      <c r="J210" s="99"/>
      <c r="K210" s="99">
        <v>21066</v>
      </c>
      <c r="L210" s="60">
        <v>60000</v>
      </c>
      <c r="M210" s="57">
        <f t="shared" si="63"/>
        <v>13236</v>
      </c>
      <c r="N210" s="66"/>
      <c r="O210" s="66"/>
      <c r="P210" s="66"/>
      <c r="Q210" s="66"/>
      <c r="R210" s="66"/>
      <c r="S210" s="67">
        <f>21000-7764</f>
        <v>13236</v>
      </c>
      <c r="T210" s="37"/>
      <c r="V210" s="6">
        <f t="shared" si="46"/>
        <v>0</v>
      </c>
    </row>
    <row r="211" spans="1:22" ht="60">
      <c r="A211" s="12">
        <v>11</v>
      </c>
      <c r="B211" s="143" t="s">
        <v>485</v>
      </c>
      <c r="C211" s="53" t="s">
        <v>67</v>
      </c>
      <c r="D211" s="53" t="s">
        <v>31</v>
      </c>
      <c r="E211" s="53" t="s">
        <v>59</v>
      </c>
      <c r="F211" s="53" t="s">
        <v>486</v>
      </c>
      <c r="G211" s="54">
        <f t="shared" si="62"/>
        <v>49431</v>
      </c>
      <c r="H211" s="54">
        <v>30000</v>
      </c>
      <c r="I211" s="54"/>
      <c r="J211" s="54"/>
      <c r="K211" s="54">
        <v>19431</v>
      </c>
      <c r="L211" s="60">
        <v>30590</v>
      </c>
      <c r="M211" s="57">
        <f t="shared" si="63"/>
        <v>18841</v>
      </c>
      <c r="N211" s="66"/>
      <c r="O211" s="66"/>
      <c r="P211" s="66"/>
      <c r="Q211" s="66"/>
      <c r="R211" s="66"/>
      <c r="S211" s="67">
        <v>18841</v>
      </c>
      <c r="T211" s="37"/>
      <c r="V211" s="6">
        <f t="shared" si="46"/>
        <v>0</v>
      </c>
    </row>
    <row r="212" spans="1:22">
      <c r="A212" s="46" t="s">
        <v>102</v>
      </c>
      <c r="B212" s="47" t="s">
        <v>103</v>
      </c>
      <c r="C212" s="29"/>
      <c r="D212" s="29"/>
      <c r="E212" s="29"/>
      <c r="F212" s="28"/>
      <c r="G212" s="28">
        <f t="shared" ref="G212:S212" si="64">SUM(G213:G225)</f>
        <v>1291234.4787099999</v>
      </c>
      <c r="H212" s="28">
        <f t="shared" si="64"/>
        <v>456218</v>
      </c>
      <c r="I212" s="28">
        <f t="shared" si="64"/>
        <v>0</v>
      </c>
      <c r="J212" s="28">
        <f t="shared" si="64"/>
        <v>0</v>
      </c>
      <c r="K212" s="28">
        <f t="shared" si="64"/>
        <v>835016.47870999994</v>
      </c>
      <c r="L212" s="28">
        <f t="shared" si="64"/>
        <v>1698</v>
      </c>
      <c r="M212" s="28">
        <f>SUM(M213:M225)</f>
        <v>968444</v>
      </c>
      <c r="N212" s="36">
        <f>SUM(N213:N225)</f>
        <v>100000</v>
      </c>
      <c r="O212" s="36">
        <f t="shared" si="64"/>
        <v>0</v>
      </c>
      <c r="P212" s="36">
        <f t="shared" si="64"/>
        <v>0</v>
      </c>
      <c r="Q212" s="36">
        <f t="shared" si="64"/>
        <v>0</v>
      </c>
      <c r="R212" s="36">
        <f t="shared" si="64"/>
        <v>120000</v>
      </c>
      <c r="S212" s="28">
        <f t="shared" si="64"/>
        <v>748444</v>
      </c>
      <c r="T212" s="37"/>
      <c r="V212" s="6">
        <f t="shared" ref="V212:V275" si="65">G212-H212-I212-J212-K212</f>
        <v>0</v>
      </c>
    </row>
    <row r="213" spans="1:22" ht="45">
      <c r="A213" s="12">
        <v>1</v>
      </c>
      <c r="B213" s="92" t="s">
        <v>487</v>
      </c>
      <c r="C213" s="53" t="s">
        <v>46</v>
      </c>
      <c r="D213" s="12" t="s">
        <v>26</v>
      </c>
      <c r="E213" s="53" t="s">
        <v>149</v>
      </c>
      <c r="F213" s="53" t="s">
        <v>488</v>
      </c>
      <c r="G213" s="54">
        <f t="shared" ref="G213:G224" si="66">SUM(H213:K213)</f>
        <v>119697</v>
      </c>
      <c r="H213" s="54"/>
      <c r="I213" s="54"/>
      <c r="J213" s="54"/>
      <c r="K213" s="54">
        <v>119697</v>
      </c>
      <c r="L213" s="56">
        <v>425</v>
      </c>
      <c r="M213" s="57">
        <f t="shared" ref="M213:M223" si="67">SUM(N213:S213)</f>
        <v>102634</v>
      </c>
      <c r="N213" s="55"/>
      <c r="O213" s="55"/>
      <c r="P213" s="55"/>
      <c r="Q213" s="55"/>
      <c r="R213" s="55"/>
      <c r="S213" s="57">
        <f>114000-11366</f>
        <v>102634</v>
      </c>
      <c r="T213" s="37"/>
      <c r="V213" s="6">
        <f t="shared" si="65"/>
        <v>0</v>
      </c>
    </row>
    <row r="214" spans="1:22" ht="45">
      <c r="A214" s="12">
        <v>2</v>
      </c>
      <c r="B214" s="92" t="s">
        <v>489</v>
      </c>
      <c r="C214" s="53" t="s">
        <v>123</v>
      </c>
      <c r="D214" s="12" t="s">
        <v>26</v>
      </c>
      <c r="E214" s="53" t="s">
        <v>149</v>
      </c>
      <c r="F214" s="53" t="s">
        <v>490</v>
      </c>
      <c r="G214" s="54">
        <f t="shared" si="66"/>
        <v>119968</v>
      </c>
      <c r="H214" s="54"/>
      <c r="I214" s="54"/>
      <c r="J214" s="54"/>
      <c r="K214" s="54">
        <v>119968</v>
      </c>
      <c r="L214" s="56">
        <v>425</v>
      </c>
      <c r="M214" s="57">
        <f t="shared" si="67"/>
        <v>109575</v>
      </c>
      <c r="N214" s="55"/>
      <c r="O214" s="55"/>
      <c r="P214" s="55"/>
      <c r="Q214" s="55"/>
      <c r="R214" s="55"/>
      <c r="S214" s="57">
        <f>114000-4425</f>
        <v>109575</v>
      </c>
      <c r="T214" s="37"/>
      <c r="V214" s="6">
        <f t="shared" si="65"/>
        <v>0</v>
      </c>
    </row>
    <row r="215" spans="1:22" ht="45">
      <c r="A215" s="12">
        <v>3</v>
      </c>
      <c r="B215" s="92" t="s">
        <v>491</v>
      </c>
      <c r="C215" s="53" t="s">
        <v>67</v>
      </c>
      <c r="D215" s="12" t="s">
        <v>26</v>
      </c>
      <c r="E215" s="53" t="s">
        <v>149</v>
      </c>
      <c r="F215" s="53" t="s">
        <v>492</v>
      </c>
      <c r="G215" s="54">
        <f t="shared" si="66"/>
        <v>119881</v>
      </c>
      <c r="H215" s="54"/>
      <c r="I215" s="54"/>
      <c r="J215" s="54"/>
      <c r="K215" s="54">
        <v>119881</v>
      </c>
      <c r="L215" s="56">
        <v>424</v>
      </c>
      <c r="M215" s="57">
        <f t="shared" si="67"/>
        <v>107507</v>
      </c>
      <c r="N215" s="55"/>
      <c r="O215" s="55"/>
      <c r="P215" s="55"/>
      <c r="Q215" s="55"/>
      <c r="R215" s="55"/>
      <c r="S215" s="57">
        <f>114000-6493</f>
        <v>107507</v>
      </c>
      <c r="T215" s="37"/>
      <c r="V215" s="6">
        <f t="shared" si="65"/>
        <v>0</v>
      </c>
    </row>
    <row r="216" spans="1:22" ht="45">
      <c r="A216" s="12">
        <v>4</v>
      </c>
      <c r="B216" s="92" t="s">
        <v>493</v>
      </c>
      <c r="C216" s="53" t="s">
        <v>52</v>
      </c>
      <c r="D216" s="12" t="s">
        <v>26</v>
      </c>
      <c r="E216" s="53" t="s">
        <v>149</v>
      </c>
      <c r="F216" s="53" t="s">
        <v>494</v>
      </c>
      <c r="G216" s="54">
        <f t="shared" si="66"/>
        <v>119801</v>
      </c>
      <c r="H216" s="54"/>
      <c r="I216" s="54"/>
      <c r="J216" s="54"/>
      <c r="K216" s="54">
        <v>119801</v>
      </c>
      <c r="L216" s="56">
        <v>424</v>
      </c>
      <c r="M216" s="57">
        <f t="shared" si="67"/>
        <v>108648</v>
      </c>
      <c r="N216" s="55"/>
      <c r="O216" s="55"/>
      <c r="P216" s="55"/>
      <c r="Q216" s="55"/>
      <c r="R216" s="55"/>
      <c r="S216" s="57">
        <f>114000-5352</f>
        <v>108648</v>
      </c>
      <c r="T216" s="37"/>
      <c r="V216" s="6">
        <f t="shared" si="65"/>
        <v>0</v>
      </c>
    </row>
    <row r="217" spans="1:22" ht="30">
      <c r="A217" s="12">
        <v>5</v>
      </c>
      <c r="B217" s="72" t="s">
        <v>495</v>
      </c>
      <c r="C217" s="53" t="s">
        <v>46</v>
      </c>
      <c r="D217" s="40" t="s">
        <v>31</v>
      </c>
      <c r="E217" s="53" t="s">
        <v>283</v>
      </c>
      <c r="F217" s="151" t="s">
        <v>496</v>
      </c>
      <c r="G217" s="152">
        <v>19909</v>
      </c>
      <c r="H217" s="54"/>
      <c r="I217" s="54"/>
      <c r="J217" s="54"/>
      <c r="K217" s="152">
        <v>19909</v>
      </c>
      <c r="L217" s="56"/>
      <c r="M217" s="57">
        <f t="shared" si="67"/>
        <v>19286</v>
      </c>
      <c r="N217" s="55"/>
      <c r="O217" s="55"/>
      <c r="P217" s="55"/>
      <c r="Q217" s="55"/>
      <c r="R217" s="55"/>
      <c r="S217" s="122">
        <f>19286</f>
        <v>19286</v>
      </c>
      <c r="T217" s="37"/>
      <c r="V217" s="6">
        <f t="shared" si="65"/>
        <v>0</v>
      </c>
    </row>
    <row r="218" spans="1:22" ht="60">
      <c r="A218" s="12">
        <v>6</v>
      </c>
      <c r="B218" s="72" t="s">
        <v>497</v>
      </c>
      <c r="C218" s="53" t="s">
        <v>92</v>
      </c>
      <c r="D218" s="40" t="s">
        <v>26</v>
      </c>
      <c r="E218" s="53" t="s">
        <v>115</v>
      </c>
      <c r="F218" s="490" t="s">
        <v>498</v>
      </c>
      <c r="G218" s="490">
        <v>272447.47871</v>
      </c>
      <c r="H218" s="490">
        <v>100000</v>
      </c>
      <c r="I218" s="490"/>
      <c r="J218" s="490"/>
      <c r="K218" s="490">
        <f>G218-H218</f>
        <v>172447.47871</v>
      </c>
      <c r="L218" s="56"/>
      <c r="M218" s="57">
        <f t="shared" si="67"/>
        <v>272147</v>
      </c>
      <c r="N218" s="55">
        <v>100000</v>
      </c>
      <c r="O218" s="55"/>
      <c r="P218" s="55"/>
      <c r="Q218" s="55"/>
      <c r="R218" s="55"/>
      <c r="S218" s="122">
        <f>172447-300</f>
        <v>172147</v>
      </c>
      <c r="T218" s="37"/>
      <c r="V218" s="6">
        <f t="shared" si="65"/>
        <v>0</v>
      </c>
    </row>
    <row r="219" spans="1:22" ht="75">
      <c r="A219" s="12">
        <v>7</v>
      </c>
      <c r="B219" s="92" t="s">
        <v>499</v>
      </c>
      <c r="C219" s="53" t="s">
        <v>64</v>
      </c>
      <c r="D219" s="12" t="s">
        <v>31</v>
      </c>
      <c r="E219" s="53" t="s">
        <v>500</v>
      </c>
      <c r="F219" s="142" t="s">
        <v>501</v>
      </c>
      <c r="G219" s="54">
        <f t="shared" si="66"/>
        <v>99985</v>
      </c>
      <c r="H219" s="491">
        <v>66218</v>
      </c>
      <c r="I219" s="54"/>
      <c r="J219" s="54"/>
      <c r="K219" s="491">
        <v>33767</v>
      </c>
      <c r="L219" s="56"/>
      <c r="M219" s="57">
        <f t="shared" si="67"/>
        <v>113767</v>
      </c>
      <c r="N219" s="55"/>
      <c r="O219" s="55"/>
      <c r="P219" s="55"/>
      <c r="Q219" s="55"/>
      <c r="R219" s="55">
        <v>80000</v>
      </c>
      <c r="S219" s="57">
        <f>19000+14767</f>
        <v>33767</v>
      </c>
      <c r="T219" s="37"/>
      <c r="V219" s="6">
        <f t="shared" si="65"/>
        <v>0</v>
      </c>
    </row>
    <row r="220" spans="1:22" ht="45">
      <c r="A220" s="12">
        <v>8</v>
      </c>
      <c r="B220" s="92" t="s">
        <v>502</v>
      </c>
      <c r="C220" s="53" t="s">
        <v>503</v>
      </c>
      <c r="D220" s="12" t="s">
        <v>31</v>
      </c>
      <c r="E220" s="53" t="s">
        <v>500</v>
      </c>
      <c r="F220" s="53" t="s">
        <v>504</v>
      </c>
      <c r="G220" s="54">
        <f t="shared" si="66"/>
        <v>14901</v>
      </c>
      <c r="H220" s="54">
        <v>14000</v>
      </c>
      <c r="I220" s="54"/>
      <c r="J220" s="54"/>
      <c r="K220" s="54">
        <v>901</v>
      </c>
      <c r="L220" s="56"/>
      <c r="M220" s="57">
        <f t="shared" si="67"/>
        <v>14900</v>
      </c>
      <c r="N220" s="55"/>
      <c r="O220" s="55"/>
      <c r="P220" s="55"/>
      <c r="Q220" s="55"/>
      <c r="R220" s="55">
        <v>14000</v>
      </c>
      <c r="S220" s="57">
        <v>900</v>
      </c>
      <c r="T220" s="37"/>
      <c r="V220" s="6">
        <f t="shared" si="65"/>
        <v>0</v>
      </c>
    </row>
    <row r="221" spans="1:22" ht="45">
      <c r="A221" s="12">
        <v>9</v>
      </c>
      <c r="B221" s="92" t="s">
        <v>505</v>
      </c>
      <c r="C221" s="53" t="s">
        <v>503</v>
      </c>
      <c r="D221" s="12" t="s">
        <v>31</v>
      </c>
      <c r="E221" s="53" t="s">
        <v>500</v>
      </c>
      <c r="F221" s="53" t="s">
        <v>506</v>
      </c>
      <c r="G221" s="54">
        <f t="shared" si="66"/>
        <v>14447</v>
      </c>
      <c r="H221" s="54">
        <v>14000</v>
      </c>
      <c r="I221" s="54"/>
      <c r="J221" s="54"/>
      <c r="K221" s="54">
        <v>447</v>
      </c>
      <c r="L221" s="56"/>
      <c r="M221" s="57">
        <f t="shared" si="67"/>
        <v>14400</v>
      </c>
      <c r="N221" s="55"/>
      <c r="O221" s="55"/>
      <c r="P221" s="55"/>
      <c r="Q221" s="55"/>
      <c r="R221" s="55">
        <v>14000</v>
      </c>
      <c r="S221" s="57">
        <v>400</v>
      </c>
      <c r="T221" s="37"/>
      <c r="V221" s="6">
        <f t="shared" si="65"/>
        <v>0</v>
      </c>
    </row>
    <row r="222" spans="1:22" ht="45">
      <c r="A222" s="12">
        <v>10</v>
      </c>
      <c r="B222" s="92" t="s">
        <v>507</v>
      </c>
      <c r="C222" s="53" t="s">
        <v>508</v>
      </c>
      <c r="D222" s="12" t="s">
        <v>31</v>
      </c>
      <c r="E222" s="53" t="s">
        <v>500</v>
      </c>
      <c r="F222" s="53" t="s">
        <v>509</v>
      </c>
      <c r="G222" s="54">
        <f t="shared" si="66"/>
        <v>6491</v>
      </c>
      <c r="H222" s="54">
        <v>6000</v>
      </c>
      <c r="I222" s="54"/>
      <c r="J222" s="54"/>
      <c r="K222" s="54">
        <v>491</v>
      </c>
      <c r="L222" s="56"/>
      <c r="M222" s="57">
        <f t="shared" si="67"/>
        <v>6400</v>
      </c>
      <c r="N222" s="55"/>
      <c r="O222" s="55"/>
      <c r="P222" s="55"/>
      <c r="Q222" s="55"/>
      <c r="R222" s="55">
        <v>6000</v>
      </c>
      <c r="S222" s="57">
        <v>400</v>
      </c>
      <c r="T222" s="37"/>
      <c r="V222" s="6">
        <f t="shared" si="65"/>
        <v>0</v>
      </c>
    </row>
    <row r="223" spans="1:22" ht="45">
      <c r="A223" s="12">
        <v>11</v>
      </c>
      <c r="B223" s="92" t="s">
        <v>510</v>
      </c>
      <c r="C223" s="53" t="s">
        <v>46</v>
      </c>
      <c r="D223" s="12" t="s">
        <v>31</v>
      </c>
      <c r="E223" s="53" t="s">
        <v>500</v>
      </c>
      <c r="F223" s="53" t="s">
        <v>511</v>
      </c>
      <c r="G223" s="54">
        <f t="shared" si="66"/>
        <v>6181</v>
      </c>
      <c r="H223" s="54">
        <v>6000</v>
      </c>
      <c r="I223" s="54"/>
      <c r="J223" s="54"/>
      <c r="K223" s="54">
        <v>181</v>
      </c>
      <c r="L223" s="56"/>
      <c r="M223" s="57">
        <f t="shared" si="67"/>
        <v>6180</v>
      </c>
      <c r="N223" s="55"/>
      <c r="O223" s="55"/>
      <c r="P223" s="55"/>
      <c r="Q223" s="55"/>
      <c r="R223" s="55">
        <v>6000</v>
      </c>
      <c r="S223" s="57">
        <v>180</v>
      </c>
      <c r="T223" s="37"/>
      <c r="V223" s="6">
        <f t="shared" si="65"/>
        <v>0</v>
      </c>
    </row>
    <row r="224" spans="1:22" ht="90">
      <c r="A224" s="12">
        <v>12</v>
      </c>
      <c r="B224" s="92" t="s">
        <v>512</v>
      </c>
      <c r="C224" s="53" t="s">
        <v>64</v>
      </c>
      <c r="D224" s="12" t="s">
        <v>26</v>
      </c>
      <c r="E224" s="53" t="s">
        <v>55</v>
      </c>
      <c r="F224" s="53" t="s">
        <v>513</v>
      </c>
      <c r="G224" s="54">
        <f t="shared" si="66"/>
        <v>277635</v>
      </c>
      <c r="H224" s="54">
        <v>250000</v>
      </c>
      <c r="I224" s="54"/>
      <c r="J224" s="54"/>
      <c r="K224" s="54">
        <v>27635</v>
      </c>
      <c r="L224" s="56"/>
      <c r="M224" s="57">
        <f>SUM(N224:S224)</f>
        <v>0</v>
      </c>
      <c r="N224" s="55"/>
      <c r="O224" s="55"/>
      <c r="P224" s="55"/>
      <c r="Q224" s="55"/>
      <c r="R224" s="55"/>
      <c r="S224" s="57"/>
      <c r="T224" s="37"/>
      <c r="V224" s="6">
        <f t="shared" si="65"/>
        <v>0</v>
      </c>
    </row>
    <row r="225" spans="1:22" ht="60">
      <c r="A225" s="12">
        <v>13</v>
      </c>
      <c r="B225" s="92" t="s">
        <v>514</v>
      </c>
      <c r="C225" s="53"/>
      <c r="D225" s="12"/>
      <c r="E225" s="53"/>
      <c r="F225" s="153" t="s">
        <v>515</v>
      </c>
      <c r="G225" s="118">
        <v>99891</v>
      </c>
      <c r="H225" s="54"/>
      <c r="I225" s="54"/>
      <c r="J225" s="54"/>
      <c r="K225" s="118">
        <v>99891</v>
      </c>
      <c r="L225" s="56"/>
      <c r="M225" s="57">
        <f>SUM(N225:S225)</f>
        <v>93000</v>
      </c>
      <c r="N225" s="55"/>
      <c r="O225" s="55"/>
      <c r="P225" s="55"/>
      <c r="Q225" s="55"/>
      <c r="R225" s="55"/>
      <c r="S225" s="57">
        <v>93000</v>
      </c>
      <c r="T225" s="37"/>
      <c r="V225" s="6">
        <f t="shared" si="65"/>
        <v>0</v>
      </c>
    </row>
    <row r="226" spans="1:22" ht="28.5">
      <c r="A226" s="487" t="s">
        <v>516</v>
      </c>
      <c r="B226" s="309" t="s">
        <v>517</v>
      </c>
      <c r="C226" s="248"/>
      <c r="D226" s="248"/>
      <c r="E226" s="489"/>
      <c r="F226" s="469">
        <f t="shared" ref="F226:T226" si="68">F227+F240</f>
        <v>0</v>
      </c>
      <c r="G226" s="469">
        <f t="shared" si="68"/>
        <v>1581898.246</v>
      </c>
      <c r="H226" s="469">
        <f t="shared" si="68"/>
        <v>0</v>
      </c>
      <c r="I226" s="469">
        <f t="shared" si="68"/>
        <v>0</v>
      </c>
      <c r="J226" s="469">
        <f t="shared" si="68"/>
        <v>0</v>
      </c>
      <c r="K226" s="469">
        <f t="shared" si="68"/>
        <v>1581898.246</v>
      </c>
      <c r="L226" s="469">
        <f t="shared" si="68"/>
        <v>652906.99899999995</v>
      </c>
      <c r="M226" s="469">
        <f t="shared" si="68"/>
        <v>764909</v>
      </c>
      <c r="N226" s="470">
        <f t="shared" si="68"/>
        <v>0</v>
      </c>
      <c r="O226" s="470">
        <f t="shared" si="68"/>
        <v>0</v>
      </c>
      <c r="P226" s="470">
        <f t="shared" si="68"/>
        <v>0</v>
      </c>
      <c r="Q226" s="470">
        <f t="shared" si="68"/>
        <v>0</v>
      </c>
      <c r="R226" s="470">
        <f t="shared" si="68"/>
        <v>0</v>
      </c>
      <c r="S226" s="469">
        <f t="shared" si="68"/>
        <v>764909</v>
      </c>
      <c r="T226" s="471">
        <f t="shared" si="68"/>
        <v>0</v>
      </c>
      <c r="V226" s="6">
        <f t="shared" si="65"/>
        <v>0</v>
      </c>
    </row>
    <row r="227" spans="1:22" s="26" customFormat="1" ht="20.25" customHeight="1">
      <c r="A227" s="487" t="s">
        <v>37</v>
      </c>
      <c r="B227" s="309" t="s">
        <v>38</v>
      </c>
      <c r="C227" s="248"/>
      <c r="D227" s="248"/>
      <c r="E227" s="489"/>
      <c r="F227" s="492"/>
      <c r="G227" s="469">
        <f>SUM(G228:G239)</f>
        <v>7150</v>
      </c>
      <c r="H227" s="469">
        <f t="shared" ref="H227:T227" si="69">SUM(H228:H239)</f>
        <v>0</v>
      </c>
      <c r="I227" s="469">
        <f t="shared" si="69"/>
        <v>0</v>
      </c>
      <c r="J227" s="469">
        <f t="shared" si="69"/>
        <v>0</v>
      </c>
      <c r="K227" s="469">
        <f t="shared" si="69"/>
        <v>7150</v>
      </c>
      <c r="L227" s="469">
        <f t="shared" si="69"/>
        <v>1430</v>
      </c>
      <c r="M227" s="469">
        <f t="shared" si="69"/>
        <v>4957</v>
      </c>
      <c r="N227" s="470">
        <f t="shared" si="69"/>
        <v>0</v>
      </c>
      <c r="O227" s="470">
        <f t="shared" si="69"/>
        <v>0</v>
      </c>
      <c r="P227" s="470">
        <f t="shared" si="69"/>
        <v>0</v>
      </c>
      <c r="Q227" s="470">
        <f t="shared" si="69"/>
        <v>0</v>
      </c>
      <c r="R227" s="470">
        <f t="shared" si="69"/>
        <v>0</v>
      </c>
      <c r="S227" s="469">
        <f t="shared" si="69"/>
        <v>4957</v>
      </c>
      <c r="T227" s="471">
        <f t="shared" si="69"/>
        <v>0</v>
      </c>
      <c r="V227" s="6">
        <f t="shared" si="65"/>
        <v>0</v>
      </c>
    </row>
    <row r="228" spans="1:22" s="26" customFormat="1" ht="60">
      <c r="A228" s="75">
        <v>1</v>
      </c>
      <c r="B228" s="16" t="s">
        <v>518</v>
      </c>
      <c r="C228" s="80" t="s">
        <v>40</v>
      </c>
      <c r="D228" s="15"/>
      <c r="E228" s="80" t="s">
        <v>166</v>
      </c>
      <c r="F228" s="15" t="s">
        <v>519</v>
      </c>
      <c r="G228" s="77">
        <f>SUM(H228:K228)</f>
        <v>2532</v>
      </c>
      <c r="H228" s="64"/>
      <c r="I228" s="64"/>
      <c r="J228" s="64"/>
      <c r="K228" s="64">
        <v>2532</v>
      </c>
      <c r="L228" s="64"/>
      <c r="M228" s="19">
        <f>SUM(N228:S228)</f>
        <v>2532</v>
      </c>
      <c r="N228" s="145"/>
      <c r="O228" s="145"/>
      <c r="P228" s="145"/>
      <c r="Q228" s="145"/>
      <c r="R228" s="145"/>
      <c r="S228" s="19">
        <v>2532</v>
      </c>
      <c r="T228" s="154"/>
      <c r="V228" s="6">
        <f t="shared" si="65"/>
        <v>0</v>
      </c>
    </row>
    <row r="229" spans="1:22" s="26" customFormat="1" ht="45">
      <c r="A229" s="75">
        <v>2</v>
      </c>
      <c r="B229" s="39" t="s">
        <v>520</v>
      </c>
      <c r="C229" s="80" t="s">
        <v>40</v>
      </c>
      <c r="D229" s="15"/>
      <c r="E229" s="80" t="s">
        <v>500</v>
      </c>
      <c r="F229" s="33" t="s">
        <v>521</v>
      </c>
      <c r="G229" s="77">
        <f t="shared" ref="G229:G239" si="70">SUM(H229:K229)</f>
        <v>60</v>
      </c>
      <c r="H229" s="64"/>
      <c r="I229" s="64"/>
      <c r="J229" s="64"/>
      <c r="K229" s="64">
        <v>60</v>
      </c>
      <c r="L229" s="64"/>
      <c r="M229" s="19">
        <f t="shared" ref="M229:M239" si="71">SUM(N229:S229)</f>
        <v>60</v>
      </c>
      <c r="N229" s="145"/>
      <c r="O229" s="145"/>
      <c r="P229" s="145"/>
      <c r="Q229" s="145"/>
      <c r="R229" s="145"/>
      <c r="S229" s="19">
        <v>60</v>
      </c>
      <c r="T229" s="154"/>
      <c r="V229" s="6">
        <f t="shared" si="65"/>
        <v>0</v>
      </c>
    </row>
    <row r="230" spans="1:22" s="26" customFormat="1" ht="45">
      <c r="A230" s="75">
        <v>3</v>
      </c>
      <c r="B230" s="16" t="s">
        <v>522</v>
      </c>
      <c r="C230" s="80" t="s">
        <v>233</v>
      </c>
      <c r="D230" s="15"/>
      <c r="E230" s="80" t="s">
        <v>41</v>
      </c>
      <c r="F230" s="33" t="s">
        <v>523</v>
      </c>
      <c r="G230" s="77">
        <f t="shared" si="70"/>
        <v>356</v>
      </c>
      <c r="H230" s="64"/>
      <c r="I230" s="64"/>
      <c r="J230" s="64"/>
      <c r="K230" s="64">
        <v>356</v>
      </c>
      <c r="L230" s="64"/>
      <c r="M230" s="19">
        <f t="shared" si="71"/>
        <v>280</v>
      </c>
      <c r="N230" s="145"/>
      <c r="O230" s="145"/>
      <c r="P230" s="145"/>
      <c r="Q230" s="145"/>
      <c r="R230" s="145"/>
      <c r="S230" s="19">
        <v>280</v>
      </c>
      <c r="T230" s="154"/>
      <c r="V230" s="6">
        <f t="shared" si="65"/>
        <v>0</v>
      </c>
    </row>
    <row r="231" spans="1:22" s="26" customFormat="1" ht="30">
      <c r="A231" s="75">
        <v>4</v>
      </c>
      <c r="B231" s="16" t="s">
        <v>524</v>
      </c>
      <c r="C231" s="15" t="s">
        <v>40</v>
      </c>
      <c r="D231" s="15"/>
      <c r="E231" s="15" t="s">
        <v>41</v>
      </c>
      <c r="F231" s="155" t="s">
        <v>525</v>
      </c>
      <c r="G231" s="77">
        <f t="shared" si="70"/>
        <v>432</v>
      </c>
      <c r="H231" s="64"/>
      <c r="I231" s="64"/>
      <c r="J231" s="64"/>
      <c r="K231" s="64">
        <v>432</v>
      </c>
      <c r="L231" s="64"/>
      <c r="M231" s="19">
        <f t="shared" si="71"/>
        <v>340</v>
      </c>
      <c r="N231" s="145"/>
      <c r="O231" s="145"/>
      <c r="P231" s="145"/>
      <c r="Q231" s="145"/>
      <c r="R231" s="145"/>
      <c r="S231" s="19">
        <v>340</v>
      </c>
      <c r="T231" s="154"/>
      <c r="V231" s="6">
        <f t="shared" si="65"/>
        <v>0</v>
      </c>
    </row>
    <row r="232" spans="1:22" s="26" customFormat="1" ht="30">
      <c r="A232" s="75">
        <v>5</v>
      </c>
      <c r="B232" s="84" t="s">
        <v>526</v>
      </c>
      <c r="C232" s="76" t="s">
        <v>527</v>
      </c>
      <c r="D232" s="15"/>
      <c r="E232" s="76" t="s">
        <v>41</v>
      </c>
      <c r="F232" s="81" t="s">
        <v>528</v>
      </c>
      <c r="G232" s="77">
        <f t="shared" si="70"/>
        <v>797</v>
      </c>
      <c r="H232" s="64"/>
      <c r="I232" s="64"/>
      <c r="J232" s="64"/>
      <c r="K232" s="64">
        <v>797</v>
      </c>
      <c r="L232" s="64">
        <v>400</v>
      </c>
      <c r="M232" s="19">
        <f t="shared" si="71"/>
        <v>210</v>
      </c>
      <c r="N232" s="145"/>
      <c r="O232" s="145"/>
      <c r="P232" s="145"/>
      <c r="Q232" s="145"/>
      <c r="R232" s="145"/>
      <c r="S232" s="19">
        <v>210</v>
      </c>
      <c r="T232" s="154"/>
      <c r="V232" s="6">
        <f t="shared" si="65"/>
        <v>0</v>
      </c>
    </row>
    <row r="233" spans="1:22" s="26" customFormat="1" ht="30">
      <c r="A233" s="75">
        <v>6</v>
      </c>
      <c r="B233" s="84" t="s">
        <v>529</v>
      </c>
      <c r="C233" s="76" t="s">
        <v>97</v>
      </c>
      <c r="D233" s="15"/>
      <c r="E233" s="76" t="s">
        <v>41</v>
      </c>
      <c r="F233" s="81" t="s">
        <v>530</v>
      </c>
      <c r="G233" s="77">
        <f t="shared" si="70"/>
        <v>438</v>
      </c>
      <c r="H233" s="64"/>
      <c r="I233" s="64"/>
      <c r="J233" s="64"/>
      <c r="K233" s="64">
        <v>438</v>
      </c>
      <c r="L233" s="64">
        <v>270</v>
      </c>
      <c r="M233" s="19">
        <f t="shared" si="71"/>
        <v>137</v>
      </c>
      <c r="N233" s="145"/>
      <c r="O233" s="145"/>
      <c r="P233" s="145"/>
      <c r="Q233" s="145"/>
      <c r="R233" s="145"/>
      <c r="S233" s="19">
        <v>137</v>
      </c>
      <c r="T233" s="154"/>
      <c r="V233" s="6">
        <f t="shared" si="65"/>
        <v>0</v>
      </c>
    </row>
    <row r="234" spans="1:22" s="26" customFormat="1" ht="30">
      <c r="A234" s="75">
        <v>7</v>
      </c>
      <c r="B234" s="84" t="s">
        <v>531</v>
      </c>
      <c r="C234" s="76" t="s">
        <v>64</v>
      </c>
      <c r="D234" s="15"/>
      <c r="E234" s="76" t="s">
        <v>41</v>
      </c>
      <c r="F234" s="81" t="s">
        <v>532</v>
      </c>
      <c r="G234" s="77">
        <f t="shared" si="70"/>
        <v>364</v>
      </c>
      <c r="H234" s="64"/>
      <c r="I234" s="64"/>
      <c r="J234" s="64"/>
      <c r="K234" s="64">
        <v>364</v>
      </c>
      <c r="L234" s="64">
        <v>190</v>
      </c>
      <c r="M234" s="19">
        <f t="shared" si="71"/>
        <v>99</v>
      </c>
      <c r="N234" s="145"/>
      <c r="O234" s="145"/>
      <c r="P234" s="145"/>
      <c r="Q234" s="145"/>
      <c r="R234" s="145"/>
      <c r="S234" s="19">
        <v>99</v>
      </c>
      <c r="T234" s="154"/>
      <c r="V234" s="6">
        <f t="shared" si="65"/>
        <v>0</v>
      </c>
    </row>
    <row r="235" spans="1:22" s="26" customFormat="1" ht="30">
      <c r="A235" s="75">
        <v>8</v>
      </c>
      <c r="B235" s="84" t="s">
        <v>533</v>
      </c>
      <c r="C235" s="76" t="s">
        <v>97</v>
      </c>
      <c r="D235" s="15"/>
      <c r="E235" s="76" t="s">
        <v>41</v>
      </c>
      <c r="F235" s="81" t="s">
        <v>534</v>
      </c>
      <c r="G235" s="77">
        <f t="shared" si="70"/>
        <v>442</v>
      </c>
      <c r="H235" s="64"/>
      <c r="I235" s="64"/>
      <c r="J235" s="64"/>
      <c r="K235" s="64">
        <v>442</v>
      </c>
      <c r="L235" s="64">
        <v>270</v>
      </c>
      <c r="M235" s="19">
        <f t="shared" si="71"/>
        <v>137</v>
      </c>
      <c r="N235" s="145"/>
      <c r="O235" s="145"/>
      <c r="P235" s="145"/>
      <c r="Q235" s="145"/>
      <c r="R235" s="145"/>
      <c r="S235" s="19">
        <v>137</v>
      </c>
      <c r="T235" s="154"/>
      <c r="V235" s="6">
        <f t="shared" si="65"/>
        <v>0</v>
      </c>
    </row>
    <row r="236" spans="1:22" s="26" customFormat="1" ht="30">
      <c r="A236" s="75">
        <v>9</v>
      </c>
      <c r="B236" s="84" t="s">
        <v>535</v>
      </c>
      <c r="C236" s="76" t="s">
        <v>92</v>
      </c>
      <c r="D236" s="15"/>
      <c r="E236" s="76" t="s">
        <v>41</v>
      </c>
      <c r="F236" s="81" t="s">
        <v>536</v>
      </c>
      <c r="G236" s="77">
        <f t="shared" si="70"/>
        <v>527</v>
      </c>
      <c r="H236" s="64"/>
      <c r="I236" s="64"/>
      <c r="J236" s="64"/>
      <c r="K236" s="64">
        <v>527</v>
      </c>
      <c r="L236" s="64">
        <v>300</v>
      </c>
      <c r="M236" s="19">
        <f t="shared" si="71"/>
        <v>172</v>
      </c>
      <c r="N236" s="145"/>
      <c r="O236" s="145"/>
      <c r="P236" s="145"/>
      <c r="Q236" s="145"/>
      <c r="R236" s="145"/>
      <c r="S236" s="19">
        <v>172</v>
      </c>
      <c r="T236" s="154"/>
      <c r="V236" s="6">
        <f t="shared" si="65"/>
        <v>0</v>
      </c>
    </row>
    <row r="237" spans="1:22" s="26" customFormat="1" ht="45">
      <c r="A237" s="75">
        <v>10</v>
      </c>
      <c r="B237" s="84" t="s">
        <v>537</v>
      </c>
      <c r="C237" s="76" t="s">
        <v>40</v>
      </c>
      <c r="D237" s="15"/>
      <c r="E237" s="76" t="s">
        <v>500</v>
      </c>
      <c r="F237" s="81" t="s">
        <v>538</v>
      </c>
      <c r="G237" s="77">
        <f t="shared" si="70"/>
        <v>490</v>
      </c>
      <c r="H237" s="64"/>
      <c r="I237" s="64"/>
      <c r="J237" s="64"/>
      <c r="K237" s="64">
        <v>490</v>
      </c>
      <c r="L237" s="64"/>
      <c r="M237" s="19">
        <f t="shared" si="71"/>
        <v>450</v>
      </c>
      <c r="N237" s="145"/>
      <c r="O237" s="145"/>
      <c r="P237" s="145"/>
      <c r="Q237" s="145"/>
      <c r="R237" s="145"/>
      <c r="S237" s="19">
        <v>450</v>
      </c>
      <c r="T237" s="154"/>
      <c r="V237" s="6">
        <f t="shared" si="65"/>
        <v>0</v>
      </c>
    </row>
    <row r="238" spans="1:22" s="26" customFormat="1" ht="60">
      <c r="A238" s="75">
        <v>11</v>
      </c>
      <c r="B238" s="156" t="s">
        <v>539</v>
      </c>
      <c r="C238" s="157" t="s">
        <v>40</v>
      </c>
      <c r="D238" s="15"/>
      <c r="E238" s="157" t="s">
        <v>500</v>
      </c>
      <c r="F238" s="157" t="s">
        <v>540</v>
      </c>
      <c r="G238" s="77">
        <f t="shared" si="70"/>
        <v>514</v>
      </c>
      <c r="H238" s="64"/>
      <c r="I238" s="64"/>
      <c r="J238" s="64"/>
      <c r="K238" s="64">
        <v>514</v>
      </c>
      <c r="L238" s="64"/>
      <c r="M238" s="19">
        <f t="shared" si="71"/>
        <v>360</v>
      </c>
      <c r="N238" s="145"/>
      <c r="O238" s="145"/>
      <c r="P238" s="145"/>
      <c r="Q238" s="145"/>
      <c r="R238" s="145"/>
      <c r="S238" s="19">
        <v>360</v>
      </c>
      <c r="T238" s="154"/>
      <c r="V238" s="6">
        <f t="shared" si="65"/>
        <v>0</v>
      </c>
    </row>
    <row r="239" spans="1:22" s="26" customFormat="1" ht="75">
      <c r="A239" s="75">
        <v>12</v>
      </c>
      <c r="B239" s="16" t="s">
        <v>541</v>
      </c>
      <c r="C239" s="157" t="s">
        <v>40</v>
      </c>
      <c r="D239" s="15"/>
      <c r="E239" s="157" t="s">
        <v>542</v>
      </c>
      <c r="F239" s="15" t="s">
        <v>543</v>
      </c>
      <c r="G239" s="77">
        <f t="shared" si="70"/>
        <v>198</v>
      </c>
      <c r="H239" s="64"/>
      <c r="I239" s="64"/>
      <c r="J239" s="64"/>
      <c r="K239" s="64">
        <v>198</v>
      </c>
      <c r="L239" s="64"/>
      <c r="M239" s="19">
        <f t="shared" si="71"/>
        <v>180</v>
      </c>
      <c r="N239" s="145"/>
      <c r="O239" s="145"/>
      <c r="P239" s="145"/>
      <c r="Q239" s="145"/>
      <c r="R239" s="145"/>
      <c r="S239" s="19">
        <v>180</v>
      </c>
      <c r="T239" s="154"/>
      <c r="V239" s="6">
        <f t="shared" si="65"/>
        <v>0</v>
      </c>
    </row>
    <row r="240" spans="1:22" s="158" customFormat="1" ht="21.75" customHeight="1">
      <c r="A240" s="487" t="s">
        <v>69</v>
      </c>
      <c r="B240" s="309" t="s">
        <v>70</v>
      </c>
      <c r="C240" s="248"/>
      <c r="D240" s="248"/>
      <c r="E240" s="489"/>
      <c r="F240" s="469">
        <f t="shared" ref="F240:T240" si="72">F241+F249+F256</f>
        <v>0</v>
      </c>
      <c r="G240" s="469">
        <f t="shared" si="72"/>
        <v>1574748.246</v>
      </c>
      <c r="H240" s="469">
        <f t="shared" si="72"/>
        <v>0</v>
      </c>
      <c r="I240" s="469">
        <f t="shared" si="72"/>
        <v>0</v>
      </c>
      <c r="J240" s="469">
        <f t="shared" si="72"/>
        <v>0</v>
      </c>
      <c r="K240" s="469">
        <f t="shared" si="72"/>
        <v>1574748.246</v>
      </c>
      <c r="L240" s="469">
        <f t="shared" si="72"/>
        <v>651476.99899999995</v>
      </c>
      <c r="M240" s="469">
        <f t="shared" si="72"/>
        <v>759952</v>
      </c>
      <c r="N240" s="470">
        <f t="shared" si="72"/>
        <v>0</v>
      </c>
      <c r="O240" s="470">
        <f t="shared" si="72"/>
        <v>0</v>
      </c>
      <c r="P240" s="470">
        <f t="shared" si="72"/>
        <v>0</v>
      </c>
      <c r="Q240" s="470">
        <f t="shared" si="72"/>
        <v>0</v>
      </c>
      <c r="R240" s="470">
        <f t="shared" si="72"/>
        <v>0</v>
      </c>
      <c r="S240" s="469">
        <f t="shared" si="72"/>
        <v>759952</v>
      </c>
      <c r="T240" s="471">
        <f t="shared" si="72"/>
        <v>0</v>
      </c>
      <c r="V240" s="6">
        <f t="shared" si="65"/>
        <v>0</v>
      </c>
    </row>
    <row r="241" spans="1:22" ht="28.5">
      <c r="A241" s="46" t="s">
        <v>71</v>
      </c>
      <c r="B241" s="47" t="s">
        <v>72</v>
      </c>
      <c r="C241" s="53"/>
      <c r="D241" s="53"/>
      <c r="E241" s="53"/>
      <c r="F241" s="53"/>
      <c r="G241" s="58">
        <f t="shared" ref="G241:T241" si="73">SUM(G242:G248)</f>
        <v>405417.24600000004</v>
      </c>
      <c r="H241" s="58">
        <f t="shared" si="73"/>
        <v>0</v>
      </c>
      <c r="I241" s="58">
        <f t="shared" si="73"/>
        <v>0</v>
      </c>
      <c r="J241" s="58">
        <f t="shared" si="73"/>
        <v>0</v>
      </c>
      <c r="K241" s="58">
        <f t="shared" si="73"/>
        <v>405417.24600000004</v>
      </c>
      <c r="L241" s="58">
        <f t="shared" si="73"/>
        <v>334152.99899999995</v>
      </c>
      <c r="M241" s="48">
        <f t="shared" si="73"/>
        <v>3318</v>
      </c>
      <c r="N241" s="49">
        <f t="shared" si="73"/>
        <v>0</v>
      </c>
      <c r="O241" s="49">
        <f t="shared" si="73"/>
        <v>0</v>
      </c>
      <c r="P241" s="49">
        <f t="shared" si="73"/>
        <v>0</v>
      </c>
      <c r="Q241" s="49">
        <f t="shared" si="73"/>
        <v>0</v>
      </c>
      <c r="R241" s="49">
        <f t="shared" si="73"/>
        <v>0</v>
      </c>
      <c r="S241" s="48">
        <f t="shared" si="73"/>
        <v>3318</v>
      </c>
      <c r="T241" s="50">
        <f t="shared" si="73"/>
        <v>0</v>
      </c>
      <c r="V241" s="6">
        <f t="shared" si="65"/>
        <v>0</v>
      </c>
    </row>
    <row r="242" spans="1:22" ht="45">
      <c r="A242" s="12">
        <v>1</v>
      </c>
      <c r="B242" s="59" t="s">
        <v>544</v>
      </c>
      <c r="C242" s="53" t="s">
        <v>40</v>
      </c>
      <c r="D242" s="12" t="s">
        <v>26</v>
      </c>
      <c r="E242" s="53" t="s">
        <v>331</v>
      </c>
      <c r="F242" s="53" t="s">
        <v>545</v>
      </c>
      <c r="G242" s="54">
        <f>SUM(H242:K242)</f>
        <v>89757</v>
      </c>
      <c r="H242" s="56"/>
      <c r="I242" s="56"/>
      <c r="J242" s="56"/>
      <c r="K242" s="56">
        <v>89757</v>
      </c>
      <c r="L242" s="56">
        <f>70645+7382-3000</f>
        <v>75027</v>
      </c>
      <c r="M242" s="57">
        <f>SUM(N242:S242)</f>
        <v>470</v>
      </c>
      <c r="N242" s="55"/>
      <c r="O242" s="55"/>
      <c r="P242" s="55"/>
      <c r="Q242" s="55"/>
      <c r="R242" s="55"/>
      <c r="S242" s="57">
        <v>470</v>
      </c>
      <c r="T242" s="37"/>
      <c r="V242" s="6">
        <f t="shared" si="65"/>
        <v>0</v>
      </c>
    </row>
    <row r="243" spans="1:22" ht="30">
      <c r="A243" s="12">
        <v>2</v>
      </c>
      <c r="B243" s="59" t="s">
        <v>546</v>
      </c>
      <c r="C243" s="53" t="s">
        <v>52</v>
      </c>
      <c r="D243" s="12" t="s">
        <v>26</v>
      </c>
      <c r="E243" s="53" t="s">
        <v>547</v>
      </c>
      <c r="F243" s="53" t="s">
        <v>548</v>
      </c>
      <c r="G243" s="54">
        <f>SUM(H243:K243)</f>
        <v>72736</v>
      </c>
      <c r="H243" s="56"/>
      <c r="I243" s="56"/>
      <c r="J243" s="56"/>
      <c r="K243" s="56">
        <v>72736</v>
      </c>
      <c r="L243" s="56">
        <v>60650</v>
      </c>
      <c r="M243" s="57">
        <f>SUM(N243:S243)</f>
        <v>37</v>
      </c>
      <c r="N243" s="55"/>
      <c r="O243" s="55"/>
      <c r="P243" s="55"/>
      <c r="Q243" s="55"/>
      <c r="R243" s="55"/>
      <c r="S243" s="57">
        <v>37</v>
      </c>
      <c r="T243" s="37"/>
      <c r="V243" s="6">
        <f t="shared" si="65"/>
        <v>0</v>
      </c>
    </row>
    <row r="244" spans="1:22" ht="30">
      <c r="A244" s="12">
        <v>3</v>
      </c>
      <c r="B244" s="59" t="s">
        <v>549</v>
      </c>
      <c r="C244" s="53" t="s">
        <v>67</v>
      </c>
      <c r="D244" s="12" t="s">
        <v>26</v>
      </c>
      <c r="E244" s="53" t="s">
        <v>77</v>
      </c>
      <c r="F244" s="53" t="s">
        <v>550</v>
      </c>
      <c r="G244" s="54">
        <f t="shared" ref="G244:G248" si="74">SUM(H244:K244)</f>
        <v>46405</v>
      </c>
      <c r="H244" s="56"/>
      <c r="I244" s="56"/>
      <c r="J244" s="56"/>
      <c r="K244" s="56">
        <v>46405</v>
      </c>
      <c r="L244" s="56">
        <v>35670</v>
      </c>
      <c r="M244" s="57">
        <f t="shared" ref="M244:M248" si="75">SUM(N244:S244)</f>
        <v>166</v>
      </c>
      <c r="N244" s="55"/>
      <c r="O244" s="55"/>
      <c r="P244" s="55"/>
      <c r="Q244" s="55"/>
      <c r="R244" s="55"/>
      <c r="S244" s="57">
        <v>166</v>
      </c>
      <c r="T244" s="37"/>
      <c r="V244" s="6">
        <f t="shared" si="65"/>
        <v>0</v>
      </c>
    </row>
    <row r="245" spans="1:22" ht="30">
      <c r="A245" s="12">
        <v>4</v>
      </c>
      <c r="B245" s="59" t="s">
        <v>551</v>
      </c>
      <c r="C245" s="53" t="s">
        <v>123</v>
      </c>
      <c r="D245" s="12" t="s">
        <v>31</v>
      </c>
      <c r="E245" s="53" t="s">
        <v>77</v>
      </c>
      <c r="F245" s="53" t="s">
        <v>552</v>
      </c>
      <c r="G245" s="54">
        <f t="shared" si="74"/>
        <v>33826</v>
      </c>
      <c r="H245" s="56"/>
      <c r="I245" s="56"/>
      <c r="J245" s="56"/>
      <c r="K245" s="93">
        <v>33826</v>
      </c>
      <c r="L245" s="93">
        <v>32385</v>
      </c>
      <c r="M245" s="57">
        <f t="shared" si="75"/>
        <v>605</v>
      </c>
      <c r="N245" s="55"/>
      <c r="O245" s="55"/>
      <c r="P245" s="55"/>
      <c r="Q245" s="55"/>
      <c r="R245" s="55"/>
      <c r="S245" s="57">
        <f>346+259</f>
        <v>605</v>
      </c>
      <c r="T245" s="94" t="s">
        <v>212</v>
      </c>
      <c r="V245" s="6">
        <f t="shared" si="65"/>
        <v>0</v>
      </c>
    </row>
    <row r="246" spans="1:22" ht="30">
      <c r="A246" s="12">
        <v>5</v>
      </c>
      <c r="B246" s="72" t="s">
        <v>553</v>
      </c>
      <c r="C246" s="53" t="s">
        <v>40</v>
      </c>
      <c r="D246" s="40" t="s">
        <v>26</v>
      </c>
      <c r="E246" s="53" t="s">
        <v>547</v>
      </c>
      <c r="F246" s="53" t="s">
        <v>554</v>
      </c>
      <c r="G246" s="54">
        <f t="shared" si="74"/>
        <v>106848.417</v>
      </c>
      <c r="H246" s="56"/>
      <c r="I246" s="56"/>
      <c r="J246" s="56"/>
      <c r="K246" s="93">
        <v>106848.417</v>
      </c>
      <c r="L246" s="93">
        <v>86474.97</v>
      </c>
      <c r="M246" s="57">
        <f t="shared" si="75"/>
        <v>1100</v>
      </c>
      <c r="N246" s="55"/>
      <c r="O246" s="55"/>
      <c r="P246" s="55"/>
      <c r="Q246" s="55"/>
      <c r="R246" s="55"/>
      <c r="S246" s="122">
        <v>1100</v>
      </c>
      <c r="T246" s="94" t="s">
        <v>212</v>
      </c>
      <c r="V246" s="6">
        <f t="shared" si="65"/>
        <v>0</v>
      </c>
    </row>
    <row r="247" spans="1:22" ht="45">
      <c r="A247" s="12">
        <v>6</v>
      </c>
      <c r="B247" s="72" t="s">
        <v>555</v>
      </c>
      <c r="C247" s="53" t="s">
        <v>40</v>
      </c>
      <c r="D247" s="40" t="s">
        <v>31</v>
      </c>
      <c r="E247" s="53" t="s">
        <v>80</v>
      </c>
      <c r="F247" s="53" t="s">
        <v>556</v>
      </c>
      <c r="G247" s="54">
        <f t="shared" si="74"/>
        <v>29807.829000000002</v>
      </c>
      <c r="H247" s="56"/>
      <c r="I247" s="56"/>
      <c r="J247" s="56"/>
      <c r="K247" s="93">
        <v>29807.829000000002</v>
      </c>
      <c r="L247" s="93">
        <v>21330.028999999999</v>
      </c>
      <c r="M247" s="57">
        <f t="shared" si="75"/>
        <v>600</v>
      </c>
      <c r="N247" s="55"/>
      <c r="O247" s="55"/>
      <c r="P247" s="55"/>
      <c r="Q247" s="55"/>
      <c r="R247" s="55"/>
      <c r="S247" s="122">
        <v>600</v>
      </c>
      <c r="T247" s="94" t="s">
        <v>212</v>
      </c>
      <c r="V247" s="6">
        <f t="shared" si="65"/>
        <v>0</v>
      </c>
    </row>
    <row r="248" spans="1:22" ht="30">
      <c r="A248" s="12">
        <v>7</v>
      </c>
      <c r="B248" s="59" t="s">
        <v>557</v>
      </c>
      <c r="C248" s="53" t="s">
        <v>97</v>
      </c>
      <c r="D248" s="12" t="s">
        <v>31</v>
      </c>
      <c r="E248" s="53" t="s">
        <v>357</v>
      </c>
      <c r="F248" s="53" t="s">
        <v>558</v>
      </c>
      <c r="G248" s="54">
        <f t="shared" si="74"/>
        <v>26037</v>
      </c>
      <c r="H248" s="56"/>
      <c r="I248" s="56"/>
      <c r="J248" s="56"/>
      <c r="K248" s="56">
        <v>26037</v>
      </c>
      <c r="L248" s="56">
        <v>22616</v>
      </c>
      <c r="M248" s="57">
        <f t="shared" si="75"/>
        <v>340</v>
      </c>
      <c r="N248" s="55"/>
      <c r="O248" s="55"/>
      <c r="P248" s="55"/>
      <c r="Q248" s="55"/>
      <c r="R248" s="55"/>
      <c r="S248" s="57">
        <v>340</v>
      </c>
      <c r="T248" s="37"/>
      <c r="V248" s="6">
        <f t="shared" si="65"/>
        <v>0</v>
      </c>
    </row>
    <row r="249" spans="1:22">
      <c r="A249" s="46" t="s">
        <v>82</v>
      </c>
      <c r="B249" s="47" t="s">
        <v>83</v>
      </c>
      <c r="C249" s="53"/>
      <c r="D249" s="53"/>
      <c r="E249" s="53"/>
      <c r="F249" s="53"/>
      <c r="G249" s="58">
        <f t="shared" ref="G249:T249" si="76">SUM(G250:G255)</f>
        <v>420558</v>
      </c>
      <c r="H249" s="58">
        <f t="shared" si="76"/>
        <v>0</v>
      </c>
      <c r="I249" s="58">
        <f t="shared" si="76"/>
        <v>0</v>
      </c>
      <c r="J249" s="58">
        <f t="shared" si="76"/>
        <v>0</v>
      </c>
      <c r="K249" s="58">
        <f t="shared" si="76"/>
        <v>420558</v>
      </c>
      <c r="L249" s="58">
        <f t="shared" si="76"/>
        <v>316534</v>
      </c>
      <c r="M249" s="48">
        <f t="shared" si="76"/>
        <v>96165</v>
      </c>
      <c r="N249" s="49">
        <f t="shared" si="76"/>
        <v>0</v>
      </c>
      <c r="O249" s="49">
        <f t="shared" si="76"/>
        <v>0</v>
      </c>
      <c r="P249" s="49">
        <f t="shared" si="76"/>
        <v>0</v>
      </c>
      <c r="Q249" s="49">
        <f t="shared" si="76"/>
        <v>0</v>
      </c>
      <c r="R249" s="49">
        <f t="shared" si="76"/>
        <v>0</v>
      </c>
      <c r="S249" s="48">
        <f t="shared" si="76"/>
        <v>96165</v>
      </c>
      <c r="T249" s="50">
        <f t="shared" si="76"/>
        <v>0</v>
      </c>
      <c r="V249" s="6">
        <f t="shared" si="65"/>
        <v>0</v>
      </c>
    </row>
    <row r="250" spans="1:22" ht="90">
      <c r="A250" s="12">
        <v>1</v>
      </c>
      <c r="B250" s="92" t="s">
        <v>559</v>
      </c>
      <c r="C250" s="53" t="s">
        <v>40</v>
      </c>
      <c r="D250" s="12" t="s">
        <v>26</v>
      </c>
      <c r="E250" s="53" t="s">
        <v>560</v>
      </c>
      <c r="F250" s="53" t="s">
        <v>561</v>
      </c>
      <c r="G250" s="54">
        <f t="shared" ref="G250:G255" si="77">SUM(H250:K250)</f>
        <v>170482</v>
      </c>
      <c r="H250" s="56">
        <v>0</v>
      </c>
      <c r="I250" s="56">
        <v>0</v>
      </c>
      <c r="J250" s="56"/>
      <c r="K250" s="98">
        <v>170482</v>
      </c>
      <c r="L250" s="56">
        <v>135654</v>
      </c>
      <c r="M250" s="57">
        <f t="shared" ref="M250:M255" si="78">SUM(N250:S250)</f>
        <v>9500</v>
      </c>
      <c r="N250" s="55">
        <v>0</v>
      </c>
      <c r="O250" s="55">
        <v>0</v>
      </c>
      <c r="P250" s="55">
        <v>0</v>
      </c>
      <c r="Q250" s="55"/>
      <c r="R250" s="55"/>
      <c r="S250" s="57">
        <v>9500</v>
      </c>
      <c r="T250" s="37"/>
      <c r="V250" s="6">
        <f t="shared" si="65"/>
        <v>0</v>
      </c>
    </row>
    <row r="251" spans="1:22" ht="90">
      <c r="A251" s="12">
        <v>2</v>
      </c>
      <c r="B251" s="92" t="s">
        <v>562</v>
      </c>
      <c r="C251" s="53" t="s">
        <v>92</v>
      </c>
      <c r="D251" s="12" t="s">
        <v>26</v>
      </c>
      <c r="E251" s="53" t="s">
        <v>238</v>
      </c>
      <c r="F251" s="159" t="s">
        <v>563</v>
      </c>
      <c r="G251" s="54">
        <f t="shared" si="77"/>
        <v>85921</v>
      </c>
      <c r="H251" s="56"/>
      <c r="I251" s="56"/>
      <c r="J251" s="56"/>
      <c r="K251" s="98">
        <v>85921</v>
      </c>
      <c r="L251" s="113">
        <v>85920</v>
      </c>
      <c r="M251" s="57">
        <f t="shared" si="78"/>
        <v>46967</v>
      </c>
      <c r="N251" s="55"/>
      <c r="O251" s="55"/>
      <c r="P251" s="55"/>
      <c r="Q251" s="55"/>
      <c r="R251" s="55"/>
      <c r="S251" s="57">
        <v>46967</v>
      </c>
      <c r="T251" s="37"/>
      <c r="V251" s="6">
        <f t="shared" si="65"/>
        <v>0</v>
      </c>
    </row>
    <row r="252" spans="1:22" ht="45">
      <c r="A252" s="12">
        <v>3</v>
      </c>
      <c r="B252" s="92" t="s">
        <v>564</v>
      </c>
      <c r="C252" s="53" t="s">
        <v>92</v>
      </c>
      <c r="D252" s="12" t="s">
        <v>26</v>
      </c>
      <c r="E252" s="53" t="s">
        <v>565</v>
      </c>
      <c r="F252" s="53" t="s">
        <v>566</v>
      </c>
      <c r="G252" s="54">
        <f t="shared" si="77"/>
        <v>52313</v>
      </c>
      <c r="H252" s="56"/>
      <c r="I252" s="56"/>
      <c r="J252" s="56"/>
      <c r="K252" s="98">
        <v>52313</v>
      </c>
      <c r="L252" s="113">
        <v>36810</v>
      </c>
      <c r="M252" s="57">
        <f t="shared" si="78"/>
        <v>4000</v>
      </c>
      <c r="N252" s="55"/>
      <c r="O252" s="55"/>
      <c r="P252" s="55"/>
      <c r="Q252" s="55"/>
      <c r="R252" s="55"/>
      <c r="S252" s="57">
        <v>4000</v>
      </c>
      <c r="T252" s="127" t="s">
        <v>567</v>
      </c>
      <c r="V252" s="6">
        <f t="shared" si="65"/>
        <v>0</v>
      </c>
    </row>
    <row r="253" spans="1:22" ht="30">
      <c r="A253" s="12">
        <v>4</v>
      </c>
      <c r="B253" s="72" t="s">
        <v>568</v>
      </c>
      <c r="C253" s="72" t="s">
        <v>97</v>
      </c>
      <c r="D253" s="40" t="s">
        <v>31</v>
      </c>
      <c r="E253" s="53" t="s">
        <v>59</v>
      </c>
      <c r="F253" s="53" t="s">
        <v>569</v>
      </c>
      <c r="G253" s="54">
        <f>SUM(H253:K253)</f>
        <v>40344</v>
      </c>
      <c r="H253" s="99"/>
      <c r="I253" s="99"/>
      <c r="J253" s="99"/>
      <c r="K253" s="99">
        <v>40344</v>
      </c>
      <c r="L253" s="113">
        <v>13400</v>
      </c>
      <c r="M253" s="57">
        <f>SUM(N253:S253)</f>
        <v>22500</v>
      </c>
      <c r="N253" s="100"/>
      <c r="O253" s="61"/>
      <c r="P253" s="61"/>
      <c r="Q253" s="61"/>
      <c r="R253" s="61"/>
      <c r="S253" s="68">
        <f>26000-3500</f>
        <v>22500</v>
      </c>
      <c r="T253" s="69"/>
      <c r="V253" s="6">
        <f t="shared" si="65"/>
        <v>0</v>
      </c>
    </row>
    <row r="254" spans="1:22" ht="30">
      <c r="A254" s="12">
        <v>5</v>
      </c>
      <c r="B254" s="72" t="s">
        <v>570</v>
      </c>
      <c r="C254" s="72" t="s">
        <v>52</v>
      </c>
      <c r="D254" s="40" t="s">
        <v>31</v>
      </c>
      <c r="E254" s="53" t="s">
        <v>238</v>
      </c>
      <c r="F254" s="53" t="s">
        <v>571</v>
      </c>
      <c r="G254" s="54">
        <f t="shared" si="77"/>
        <v>43816</v>
      </c>
      <c r="H254" s="98"/>
      <c r="I254" s="98"/>
      <c r="J254" s="98"/>
      <c r="K254" s="98">
        <v>43816</v>
      </c>
      <c r="L254" s="113">
        <v>23150</v>
      </c>
      <c r="M254" s="57">
        <f t="shared" si="78"/>
        <v>12373</v>
      </c>
      <c r="N254" s="100"/>
      <c r="O254" s="100"/>
      <c r="P254" s="100"/>
      <c r="Q254" s="100"/>
      <c r="R254" s="100"/>
      <c r="S254" s="101">
        <v>12373</v>
      </c>
      <c r="T254" s="37"/>
      <c r="V254" s="6">
        <f t="shared" si="65"/>
        <v>0</v>
      </c>
    </row>
    <row r="255" spans="1:22" ht="30">
      <c r="A255" s="12">
        <v>6</v>
      </c>
      <c r="B255" s="92" t="s">
        <v>572</v>
      </c>
      <c r="C255" s="53" t="s">
        <v>46</v>
      </c>
      <c r="D255" s="12" t="s">
        <v>31</v>
      </c>
      <c r="E255" s="53" t="s">
        <v>227</v>
      </c>
      <c r="F255" s="53" t="s">
        <v>573</v>
      </c>
      <c r="G255" s="54">
        <f t="shared" si="77"/>
        <v>27682</v>
      </c>
      <c r="H255" s="56"/>
      <c r="I255" s="56"/>
      <c r="J255" s="56"/>
      <c r="K255" s="56">
        <v>27682</v>
      </c>
      <c r="L255" s="56">
        <v>21600</v>
      </c>
      <c r="M255" s="57">
        <f t="shared" si="78"/>
        <v>825</v>
      </c>
      <c r="N255" s="55"/>
      <c r="O255" s="55"/>
      <c r="P255" s="55"/>
      <c r="Q255" s="55"/>
      <c r="R255" s="55"/>
      <c r="S255" s="57">
        <v>825</v>
      </c>
      <c r="T255" s="37"/>
      <c r="V255" s="6">
        <f t="shared" si="65"/>
        <v>0</v>
      </c>
    </row>
    <row r="256" spans="1:22">
      <c r="A256" s="46" t="s">
        <v>102</v>
      </c>
      <c r="B256" s="47" t="s">
        <v>103</v>
      </c>
      <c r="C256" s="29"/>
      <c r="D256" s="29"/>
      <c r="E256" s="29"/>
      <c r="F256" s="28">
        <f t="shared" ref="F256:T256" si="79">SUM(F257:F269)</f>
        <v>0</v>
      </c>
      <c r="G256" s="28">
        <f t="shared" si="79"/>
        <v>748773</v>
      </c>
      <c r="H256" s="28">
        <f t="shared" si="79"/>
        <v>0</v>
      </c>
      <c r="I256" s="28">
        <f t="shared" si="79"/>
        <v>0</v>
      </c>
      <c r="J256" s="28">
        <f t="shared" si="79"/>
        <v>0</v>
      </c>
      <c r="K256" s="28">
        <f t="shared" si="79"/>
        <v>748773</v>
      </c>
      <c r="L256" s="28">
        <f t="shared" si="79"/>
        <v>790</v>
      </c>
      <c r="M256" s="28">
        <f t="shared" si="79"/>
        <v>660469</v>
      </c>
      <c r="N256" s="36">
        <f t="shared" si="79"/>
        <v>0</v>
      </c>
      <c r="O256" s="36">
        <f t="shared" si="79"/>
        <v>0</v>
      </c>
      <c r="P256" s="36">
        <f t="shared" si="79"/>
        <v>0</v>
      </c>
      <c r="Q256" s="36"/>
      <c r="R256" s="36">
        <f t="shared" si="79"/>
        <v>0</v>
      </c>
      <c r="S256" s="28">
        <f t="shared" si="79"/>
        <v>660469</v>
      </c>
      <c r="T256" s="70">
        <f t="shared" si="79"/>
        <v>0</v>
      </c>
      <c r="V256" s="6">
        <f t="shared" si="65"/>
        <v>0</v>
      </c>
    </row>
    <row r="257" spans="1:22" ht="37.9" customHeight="1">
      <c r="A257" s="53">
        <v>1</v>
      </c>
      <c r="B257" s="59" t="s">
        <v>574</v>
      </c>
      <c r="C257" s="53" t="s">
        <v>92</v>
      </c>
      <c r="D257" s="53" t="s">
        <v>26</v>
      </c>
      <c r="E257" s="53" t="s">
        <v>149</v>
      </c>
      <c r="F257" s="53" t="s">
        <v>575</v>
      </c>
      <c r="G257" s="54">
        <f>SUM(H257:K257)</f>
        <v>76461</v>
      </c>
      <c r="H257" s="54"/>
      <c r="I257" s="54"/>
      <c r="J257" s="54"/>
      <c r="K257" s="54">
        <v>76461</v>
      </c>
      <c r="L257" s="54">
        <v>200</v>
      </c>
      <c r="M257" s="57">
        <f t="shared" ref="M257:M269" si="80">SUM(N257:S257)</f>
        <v>69061</v>
      </c>
      <c r="N257" s="61"/>
      <c r="O257" s="61"/>
      <c r="P257" s="61"/>
      <c r="Q257" s="61"/>
      <c r="R257" s="61"/>
      <c r="S257" s="57">
        <f>76261-7200</f>
        <v>69061</v>
      </c>
      <c r="T257" s="37"/>
      <c r="V257" s="6">
        <f t="shared" si="65"/>
        <v>0</v>
      </c>
    </row>
    <row r="258" spans="1:22" ht="30">
      <c r="A258" s="53">
        <v>2</v>
      </c>
      <c r="B258" s="59" t="s">
        <v>576</v>
      </c>
      <c r="C258" s="53" t="s">
        <v>92</v>
      </c>
      <c r="D258" s="53" t="s">
        <v>26</v>
      </c>
      <c r="E258" s="53" t="s">
        <v>149</v>
      </c>
      <c r="F258" s="73" t="s">
        <v>101</v>
      </c>
      <c r="G258" s="54">
        <f t="shared" ref="G258" si="81">SUM(H258:K258)</f>
        <v>95000</v>
      </c>
      <c r="H258" s="54"/>
      <c r="I258" s="54"/>
      <c r="J258" s="54"/>
      <c r="K258" s="54">
        <v>95000</v>
      </c>
      <c r="L258" s="54">
        <v>190</v>
      </c>
      <c r="M258" s="57">
        <f t="shared" si="80"/>
        <v>21810</v>
      </c>
      <c r="N258" s="61"/>
      <c r="O258" s="61"/>
      <c r="P258" s="61"/>
      <c r="Q258" s="61"/>
      <c r="R258" s="61"/>
      <c r="S258" s="57">
        <f>94810-73000</f>
        <v>21810</v>
      </c>
      <c r="T258" s="37"/>
      <c r="V258" s="6">
        <f t="shared" si="65"/>
        <v>0</v>
      </c>
    </row>
    <row r="259" spans="1:22" ht="45">
      <c r="A259" s="53">
        <v>3</v>
      </c>
      <c r="B259" s="59" t="s">
        <v>577</v>
      </c>
      <c r="C259" s="53" t="s">
        <v>92</v>
      </c>
      <c r="D259" s="53" t="s">
        <v>26</v>
      </c>
      <c r="E259" s="53" t="s">
        <v>149</v>
      </c>
      <c r="F259" s="53" t="s">
        <v>578</v>
      </c>
      <c r="G259" s="60">
        <v>292000</v>
      </c>
      <c r="H259" s="54"/>
      <c r="I259" s="54"/>
      <c r="J259" s="54"/>
      <c r="K259" s="54">
        <v>292000</v>
      </c>
      <c r="L259" s="54">
        <v>400</v>
      </c>
      <c r="M259" s="57">
        <f t="shared" si="80"/>
        <v>291600</v>
      </c>
      <c r="N259" s="61"/>
      <c r="O259" s="61"/>
      <c r="P259" s="61"/>
      <c r="Q259" s="61"/>
      <c r="R259" s="61"/>
      <c r="S259" s="57">
        <v>291600</v>
      </c>
      <c r="T259" s="37"/>
      <c r="V259" s="6">
        <f t="shared" si="65"/>
        <v>0</v>
      </c>
    </row>
    <row r="260" spans="1:22" ht="30">
      <c r="A260" s="53">
        <v>4</v>
      </c>
      <c r="B260" s="59" t="s">
        <v>526</v>
      </c>
      <c r="C260" s="53" t="s">
        <v>58</v>
      </c>
      <c r="D260" s="53" t="s">
        <v>26</v>
      </c>
      <c r="E260" s="53" t="s">
        <v>115</v>
      </c>
      <c r="F260" s="53" t="s">
        <v>579</v>
      </c>
      <c r="G260" s="54">
        <v>79992</v>
      </c>
      <c r="H260" s="54"/>
      <c r="I260" s="54"/>
      <c r="J260" s="54"/>
      <c r="K260" s="54">
        <v>79992</v>
      </c>
      <c r="L260" s="54"/>
      <c r="M260" s="57">
        <f t="shared" si="80"/>
        <v>79383</v>
      </c>
      <c r="N260" s="61"/>
      <c r="O260" s="61"/>
      <c r="P260" s="61"/>
      <c r="Q260" s="61"/>
      <c r="R260" s="61"/>
      <c r="S260" s="57">
        <f>79593-210</f>
        <v>79383</v>
      </c>
      <c r="T260" s="37"/>
      <c r="V260" s="6">
        <f t="shared" si="65"/>
        <v>0</v>
      </c>
    </row>
    <row r="261" spans="1:22" ht="30">
      <c r="A261" s="53">
        <v>5</v>
      </c>
      <c r="B261" s="59" t="s">
        <v>529</v>
      </c>
      <c r="C261" s="53" t="s">
        <v>97</v>
      </c>
      <c r="D261" s="53" t="s">
        <v>31</v>
      </c>
      <c r="E261" s="53" t="s">
        <v>283</v>
      </c>
      <c r="F261" s="53" t="s">
        <v>580</v>
      </c>
      <c r="G261" s="54">
        <v>39995</v>
      </c>
      <c r="H261" s="54"/>
      <c r="I261" s="54"/>
      <c r="J261" s="54"/>
      <c r="K261" s="54">
        <v>39995</v>
      </c>
      <c r="L261" s="54"/>
      <c r="M261" s="57">
        <f t="shared" si="80"/>
        <v>39588</v>
      </c>
      <c r="N261" s="61"/>
      <c r="O261" s="61"/>
      <c r="P261" s="61"/>
      <c r="Q261" s="61"/>
      <c r="R261" s="61"/>
      <c r="S261" s="57">
        <f>39725-137</f>
        <v>39588</v>
      </c>
      <c r="T261" s="37"/>
      <c r="V261" s="6">
        <f t="shared" si="65"/>
        <v>0</v>
      </c>
    </row>
    <row r="262" spans="1:22" ht="30">
      <c r="A262" s="53">
        <v>6</v>
      </c>
      <c r="B262" s="59" t="s">
        <v>581</v>
      </c>
      <c r="C262" s="53" t="s">
        <v>64</v>
      </c>
      <c r="D262" s="53" t="s">
        <v>31</v>
      </c>
      <c r="E262" s="53" t="s">
        <v>283</v>
      </c>
      <c r="F262" s="53" t="s">
        <v>582</v>
      </c>
      <c r="G262" s="54">
        <v>24989</v>
      </c>
      <c r="H262" s="54"/>
      <c r="I262" s="54"/>
      <c r="J262" s="54"/>
      <c r="K262" s="54">
        <v>24989</v>
      </c>
      <c r="L262" s="54"/>
      <c r="M262" s="57">
        <f t="shared" si="80"/>
        <v>24680</v>
      </c>
      <c r="N262" s="61"/>
      <c r="O262" s="61"/>
      <c r="P262" s="61"/>
      <c r="Q262" s="61"/>
      <c r="R262" s="61"/>
      <c r="S262" s="57">
        <f>24779-99</f>
        <v>24680</v>
      </c>
      <c r="T262" s="37"/>
      <c r="V262" s="6">
        <f t="shared" si="65"/>
        <v>0</v>
      </c>
    </row>
    <row r="263" spans="1:22" ht="60">
      <c r="A263" s="53">
        <v>7</v>
      </c>
      <c r="B263" s="59" t="s">
        <v>535</v>
      </c>
      <c r="C263" s="53" t="s">
        <v>92</v>
      </c>
      <c r="D263" s="53" t="s">
        <v>31</v>
      </c>
      <c r="E263" s="53" t="s">
        <v>283</v>
      </c>
      <c r="F263" s="107" t="s">
        <v>583</v>
      </c>
      <c r="G263" s="45">
        <v>8989</v>
      </c>
      <c r="H263" s="472"/>
      <c r="I263" s="472"/>
      <c r="J263" s="472"/>
      <c r="K263" s="45">
        <v>8989</v>
      </c>
      <c r="L263" s="54"/>
      <c r="M263" s="57">
        <f t="shared" si="80"/>
        <v>8519</v>
      </c>
      <c r="N263" s="61"/>
      <c r="O263" s="61"/>
      <c r="P263" s="61"/>
      <c r="Q263" s="61"/>
      <c r="R263" s="61"/>
      <c r="S263" s="57">
        <f>8691-172</f>
        <v>8519</v>
      </c>
      <c r="T263" s="110" t="s">
        <v>584</v>
      </c>
      <c r="V263" s="6">
        <f t="shared" si="65"/>
        <v>0</v>
      </c>
    </row>
    <row r="264" spans="1:22" ht="30">
      <c r="A264" s="53">
        <v>8</v>
      </c>
      <c r="B264" s="59" t="s">
        <v>585</v>
      </c>
      <c r="C264" s="53" t="s">
        <v>97</v>
      </c>
      <c r="D264" s="53" t="s">
        <v>31</v>
      </c>
      <c r="E264" s="53" t="s">
        <v>109</v>
      </c>
      <c r="F264" s="53" t="s">
        <v>586</v>
      </c>
      <c r="G264" s="54">
        <v>39999</v>
      </c>
      <c r="H264" s="54"/>
      <c r="I264" s="54"/>
      <c r="J264" s="54"/>
      <c r="K264" s="54">
        <v>39999</v>
      </c>
      <c r="L264" s="54"/>
      <c r="M264" s="57">
        <f t="shared" si="80"/>
        <v>37588</v>
      </c>
      <c r="N264" s="61"/>
      <c r="O264" s="61"/>
      <c r="P264" s="61"/>
      <c r="Q264" s="61"/>
      <c r="R264" s="61"/>
      <c r="S264" s="57">
        <f>37725-137</f>
        <v>37588</v>
      </c>
      <c r="T264" s="37"/>
      <c r="V264" s="6">
        <f t="shared" si="65"/>
        <v>0</v>
      </c>
    </row>
    <row r="265" spans="1:22" ht="45">
      <c r="A265" s="53">
        <v>9</v>
      </c>
      <c r="B265" s="59" t="s">
        <v>587</v>
      </c>
      <c r="C265" s="53" t="s">
        <v>40</v>
      </c>
      <c r="D265" s="53" t="s">
        <v>31</v>
      </c>
      <c r="E265" s="53" t="s">
        <v>283</v>
      </c>
      <c r="F265" s="120" t="s">
        <v>588</v>
      </c>
      <c r="G265" s="121">
        <v>14946</v>
      </c>
      <c r="H265" s="54"/>
      <c r="I265" s="54"/>
      <c r="J265" s="54"/>
      <c r="K265" s="121">
        <v>14946</v>
      </c>
      <c r="L265" s="54"/>
      <c r="M265" s="57">
        <f t="shared" si="80"/>
        <v>14548</v>
      </c>
      <c r="N265" s="61"/>
      <c r="O265" s="61"/>
      <c r="P265" s="61"/>
      <c r="Q265" s="61"/>
      <c r="R265" s="61"/>
      <c r="S265" s="57">
        <v>14548</v>
      </c>
      <c r="T265" s="37"/>
      <c r="V265" s="6">
        <f t="shared" si="65"/>
        <v>0</v>
      </c>
    </row>
    <row r="266" spans="1:22" ht="30">
      <c r="A266" s="53">
        <v>10</v>
      </c>
      <c r="B266" s="59" t="s">
        <v>589</v>
      </c>
      <c r="C266" s="53" t="s">
        <v>40</v>
      </c>
      <c r="D266" s="53" t="s">
        <v>31</v>
      </c>
      <c r="E266" s="53" t="s">
        <v>283</v>
      </c>
      <c r="F266" s="157" t="s">
        <v>590</v>
      </c>
      <c r="G266" s="483">
        <v>43958</v>
      </c>
      <c r="H266" s="54"/>
      <c r="I266" s="54"/>
      <c r="J266" s="54"/>
      <c r="K266" s="483">
        <v>43958</v>
      </c>
      <c r="L266" s="54"/>
      <c r="M266" s="57">
        <f t="shared" si="80"/>
        <v>41719</v>
      </c>
      <c r="N266" s="61"/>
      <c r="O266" s="61"/>
      <c r="P266" s="61"/>
      <c r="Q266" s="61"/>
      <c r="R266" s="61"/>
      <c r="S266" s="57">
        <f>43719-2000</f>
        <v>41719</v>
      </c>
      <c r="T266" s="37"/>
      <c r="V266" s="6">
        <f t="shared" si="65"/>
        <v>0</v>
      </c>
    </row>
    <row r="267" spans="1:22" ht="30">
      <c r="A267" s="53">
        <v>11</v>
      </c>
      <c r="B267" s="72" t="s">
        <v>539</v>
      </c>
      <c r="C267" s="53" t="s">
        <v>40</v>
      </c>
      <c r="D267" s="40" t="s">
        <v>31</v>
      </c>
      <c r="E267" s="53" t="s">
        <v>283</v>
      </c>
      <c r="F267" s="73" t="s">
        <v>591</v>
      </c>
      <c r="G267" s="54">
        <f>SUM(H267:K267)</f>
        <v>9132</v>
      </c>
      <c r="H267" s="54"/>
      <c r="I267" s="54"/>
      <c r="J267" s="54"/>
      <c r="K267" s="54">
        <v>9132</v>
      </c>
      <c r="L267" s="54"/>
      <c r="M267" s="57">
        <f t="shared" si="80"/>
        <v>9056</v>
      </c>
      <c r="N267" s="61"/>
      <c r="O267" s="61"/>
      <c r="P267" s="61"/>
      <c r="Q267" s="61"/>
      <c r="R267" s="61"/>
      <c r="S267" s="122">
        <v>9056</v>
      </c>
      <c r="T267" s="37"/>
      <c r="V267" s="6">
        <f t="shared" si="65"/>
        <v>0</v>
      </c>
    </row>
    <row r="268" spans="1:22" ht="122.25" customHeight="1">
      <c r="A268" s="53">
        <v>12</v>
      </c>
      <c r="B268" s="59" t="s">
        <v>592</v>
      </c>
      <c r="C268" s="53" t="s">
        <v>40</v>
      </c>
      <c r="D268" s="53" t="s">
        <v>31</v>
      </c>
      <c r="E268" s="53" t="s">
        <v>47</v>
      </c>
      <c r="F268" s="53" t="s">
        <v>593</v>
      </c>
      <c r="G268" s="54">
        <f>SUM(H268:K268)</f>
        <v>13371</v>
      </c>
      <c r="H268" s="54"/>
      <c r="I268" s="54"/>
      <c r="J268" s="54"/>
      <c r="K268" s="54">
        <v>13371</v>
      </c>
      <c r="L268" s="54"/>
      <c r="M268" s="57">
        <f t="shared" si="80"/>
        <v>13036</v>
      </c>
      <c r="N268" s="61"/>
      <c r="O268" s="61"/>
      <c r="P268" s="61"/>
      <c r="Q268" s="61"/>
      <c r="R268" s="61"/>
      <c r="S268" s="57">
        <f>10733+2303</f>
        <v>13036</v>
      </c>
      <c r="T268" s="160" t="s">
        <v>594</v>
      </c>
      <c r="V268" s="6">
        <f t="shared" si="65"/>
        <v>0</v>
      </c>
    </row>
    <row r="269" spans="1:22" ht="45">
      <c r="A269" s="53">
        <v>13</v>
      </c>
      <c r="B269" s="59" t="s">
        <v>520</v>
      </c>
      <c r="C269" s="53" t="s">
        <v>40</v>
      </c>
      <c r="D269" s="53" t="s">
        <v>31</v>
      </c>
      <c r="E269" s="53" t="s">
        <v>55</v>
      </c>
      <c r="F269" s="161" t="s">
        <v>595</v>
      </c>
      <c r="G269" s="45">
        <f t="shared" ref="G269" si="82">SUM(H269:K269)</f>
        <v>9941</v>
      </c>
      <c r="H269" s="45"/>
      <c r="I269" s="45"/>
      <c r="J269" s="45"/>
      <c r="K269" s="45">
        <v>9941</v>
      </c>
      <c r="L269" s="54"/>
      <c r="M269" s="57">
        <f t="shared" si="80"/>
        <v>9881</v>
      </c>
      <c r="N269" s="61"/>
      <c r="O269" s="61"/>
      <c r="P269" s="61"/>
      <c r="Q269" s="61"/>
      <c r="R269" s="61"/>
      <c r="S269" s="57">
        <v>9881</v>
      </c>
      <c r="T269" s="162"/>
      <c r="V269" s="6">
        <f t="shared" si="65"/>
        <v>0</v>
      </c>
    </row>
    <row r="270" spans="1:22">
      <c r="A270" s="478" t="s">
        <v>596</v>
      </c>
      <c r="B270" s="47" t="s">
        <v>597</v>
      </c>
      <c r="C270" s="29"/>
      <c r="D270" s="29"/>
      <c r="E270" s="29"/>
      <c r="F270" s="48">
        <f t="shared" ref="F270:T270" si="83">F271+F280</f>
        <v>0</v>
      </c>
      <c r="G270" s="48">
        <f t="shared" si="83"/>
        <v>1021170</v>
      </c>
      <c r="H270" s="48">
        <f t="shared" si="83"/>
        <v>0</v>
      </c>
      <c r="I270" s="48">
        <f t="shared" si="83"/>
        <v>0</v>
      </c>
      <c r="J270" s="48">
        <f t="shared" si="83"/>
        <v>0</v>
      </c>
      <c r="K270" s="48">
        <f t="shared" si="83"/>
        <v>1021170</v>
      </c>
      <c r="L270" s="48">
        <f t="shared" si="83"/>
        <v>354741</v>
      </c>
      <c r="M270" s="48">
        <f t="shared" si="83"/>
        <v>771322</v>
      </c>
      <c r="N270" s="49">
        <f t="shared" si="83"/>
        <v>0</v>
      </c>
      <c r="O270" s="49">
        <f t="shared" si="83"/>
        <v>0</v>
      </c>
      <c r="P270" s="49">
        <f t="shared" si="83"/>
        <v>0</v>
      </c>
      <c r="Q270" s="49">
        <f t="shared" si="83"/>
        <v>50000</v>
      </c>
      <c r="R270" s="49">
        <f t="shared" si="83"/>
        <v>0</v>
      </c>
      <c r="S270" s="48">
        <f t="shared" si="83"/>
        <v>721322</v>
      </c>
      <c r="T270" s="50">
        <f t="shared" si="83"/>
        <v>0</v>
      </c>
      <c r="V270" s="6">
        <f t="shared" si="65"/>
        <v>0</v>
      </c>
    </row>
    <row r="271" spans="1:22" s="26" customFormat="1" ht="21" customHeight="1">
      <c r="A271" s="487" t="s">
        <v>37</v>
      </c>
      <c r="B271" s="309" t="s">
        <v>38</v>
      </c>
      <c r="C271" s="15"/>
      <c r="D271" s="15"/>
      <c r="E271" s="15"/>
      <c r="F271" s="488"/>
      <c r="G271" s="489">
        <f>SUM(G272:G279)</f>
        <v>5119</v>
      </c>
      <c r="H271" s="489">
        <f t="shared" ref="H271:T271" si="84">SUM(H272:H279)</f>
        <v>0</v>
      </c>
      <c r="I271" s="489">
        <f t="shared" si="84"/>
        <v>0</v>
      </c>
      <c r="J271" s="489">
        <f t="shared" si="84"/>
        <v>0</v>
      </c>
      <c r="K271" s="489">
        <f t="shared" si="84"/>
        <v>5119</v>
      </c>
      <c r="L271" s="489">
        <f t="shared" si="84"/>
        <v>700</v>
      </c>
      <c r="M271" s="469">
        <f t="shared" si="84"/>
        <v>3785</v>
      </c>
      <c r="N271" s="470">
        <f t="shared" si="84"/>
        <v>0</v>
      </c>
      <c r="O271" s="470">
        <f t="shared" si="84"/>
        <v>0</v>
      </c>
      <c r="P271" s="470">
        <f t="shared" si="84"/>
        <v>0</v>
      </c>
      <c r="Q271" s="470">
        <f t="shared" si="84"/>
        <v>0</v>
      </c>
      <c r="R271" s="470">
        <f t="shared" si="84"/>
        <v>0</v>
      </c>
      <c r="S271" s="469">
        <f t="shared" si="84"/>
        <v>3785</v>
      </c>
      <c r="T271" s="471">
        <f t="shared" si="84"/>
        <v>0</v>
      </c>
      <c r="V271" s="6">
        <f t="shared" si="65"/>
        <v>0</v>
      </c>
    </row>
    <row r="272" spans="1:22" s="26" customFormat="1" ht="30">
      <c r="A272" s="75">
        <v>1</v>
      </c>
      <c r="B272" s="59" t="s">
        <v>598</v>
      </c>
      <c r="C272" s="31" t="s">
        <v>40</v>
      </c>
      <c r="D272" s="15"/>
      <c r="E272" s="32" t="s">
        <v>41</v>
      </c>
      <c r="F272" s="38" t="s">
        <v>599</v>
      </c>
      <c r="G272" s="64">
        <f>SUM(H272:K272)</f>
        <v>1582</v>
      </c>
      <c r="H272" s="64"/>
      <c r="I272" s="64"/>
      <c r="J272" s="64"/>
      <c r="K272" s="64">
        <v>1582</v>
      </c>
      <c r="L272" s="64">
        <v>500</v>
      </c>
      <c r="M272" s="19">
        <f>SUM(N272:S272)</f>
        <v>1082</v>
      </c>
      <c r="N272" s="145"/>
      <c r="O272" s="145"/>
      <c r="P272" s="145"/>
      <c r="Q272" s="145"/>
      <c r="R272" s="145"/>
      <c r="S272" s="19">
        <v>1082</v>
      </c>
      <c r="T272" s="154"/>
      <c r="V272" s="6">
        <f t="shared" si="65"/>
        <v>0</v>
      </c>
    </row>
    <row r="273" spans="1:22" s="26" customFormat="1" ht="30">
      <c r="A273" s="75">
        <v>2</v>
      </c>
      <c r="B273" s="59" t="s">
        <v>600</v>
      </c>
      <c r="C273" s="31" t="s">
        <v>40</v>
      </c>
      <c r="D273" s="15"/>
      <c r="E273" s="32" t="s">
        <v>41</v>
      </c>
      <c r="F273" s="38" t="s">
        <v>601</v>
      </c>
      <c r="G273" s="64">
        <f t="shared" ref="G273:G279" si="85">SUM(H273:K273)</f>
        <v>327</v>
      </c>
      <c r="H273" s="64"/>
      <c r="I273" s="64"/>
      <c r="J273" s="64"/>
      <c r="K273" s="64">
        <v>327</v>
      </c>
      <c r="L273" s="64"/>
      <c r="M273" s="19">
        <f t="shared" ref="M273:M279" si="86">SUM(N273:S273)</f>
        <v>290</v>
      </c>
      <c r="N273" s="145"/>
      <c r="O273" s="145"/>
      <c r="P273" s="145"/>
      <c r="Q273" s="145"/>
      <c r="R273" s="145"/>
      <c r="S273" s="19">
        <v>290</v>
      </c>
      <c r="T273" s="154"/>
      <c r="V273" s="6">
        <f t="shared" si="65"/>
        <v>0</v>
      </c>
    </row>
    <row r="274" spans="1:22" s="26" customFormat="1" ht="60">
      <c r="A274" s="75">
        <v>3</v>
      </c>
      <c r="B274" s="59" t="s">
        <v>602</v>
      </c>
      <c r="C274" s="31" t="s">
        <v>40</v>
      </c>
      <c r="D274" s="15"/>
      <c r="E274" s="32">
        <v>2021</v>
      </c>
      <c r="F274" s="38" t="s">
        <v>603</v>
      </c>
      <c r="G274" s="64">
        <f t="shared" si="85"/>
        <v>500</v>
      </c>
      <c r="H274" s="64"/>
      <c r="I274" s="64"/>
      <c r="J274" s="64"/>
      <c r="K274" s="64">
        <v>500</v>
      </c>
      <c r="L274" s="64"/>
      <c r="M274" s="19">
        <f t="shared" si="86"/>
        <v>450</v>
      </c>
      <c r="N274" s="145"/>
      <c r="O274" s="145"/>
      <c r="P274" s="145"/>
      <c r="Q274" s="145"/>
      <c r="R274" s="145"/>
      <c r="S274" s="19">
        <v>450</v>
      </c>
      <c r="T274" s="154"/>
      <c r="V274" s="6">
        <f t="shared" si="65"/>
        <v>0</v>
      </c>
    </row>
    <row r="275" spans="1:22" s="26" customFormat="1" ht="60">
      <c r="A275" s="75">
        <v>4</v>
      </c>
      <c r="B275" s="72" t="s">
        <v>604</v>
      </c>
      <c r="C275" s="40" t="s">
        <v>40</v>
      </c>
      <c r="D275" s="15"/>
      <c r="E275" s="40" t="s">
        <v>500</v>
      </c>
      <c r="F275" s="38" t="s">
        <v>605</v>
      </c>
      <c r="G275" s="64">
        <f t="shared" si="85"/>
        <v>1041</v>
      </c>
      <c r="H275" s="64"/>
      <c r="I275" s="64"/>
      <c r="J275" s="64"/>
      <c r="K275" s="64">
        <v>1041</v>
      </c>
      <c r="L275" s="64"/>
      <c r="M275" s="19">
        <f t="shared" si="86"/>
        <v>800</v>
      </c>
      <c r="N275" s="145"/>
      <c r="O275" s="145"/>
      <c r="P275" s="145"/>
      <c r="Q275" s="145"/>
      <c r="R275" s="145"/>
      <c r="S275" s="19">
        <v>800</v>
      </c>
      <c r="T275" s="154"/>
      <c r="V275" s="6">
        <f t="shared" si="65"/>
        <v>0</v>
      </c>
    </row>
    <row r="276" spans="1:22" s="26" customFormat="1" ht="60">
      <c r="A276" s="75">
        <v>5</v>
      </c>
      <c r="B276" s="72" t="s">
        <v>606</v>
      </c>
      <c r="C276" s="40" t="s">
        <v>40</v>
      </c>
      <c r="D276" s="15"/>
      <c r="E276" s="40" t="s">
        <v>500</v>
      </c>
      <c r="F276" s="38" t="s">
        <v>607</v>
      </c>
      <c r="G276" s="64">
        <f t="shared" si="85"/>
        <v>447</v>
      </c>
      <c r="H276" s="64"/>
      <c r="I276" s="64"/>
      <c r="J276" s="64"/>
      <c r="K276" s="64">
        <v>447</v>
      </c>
      <c r="L276" s="64"/>
      <c r="M276" s="19">
        <f t="shared" si="86"/>
        <v>400</v>
      </c>
      <c r="N276" s="145"/>
      <c r="O276" s="145"/>
      <c r="P276" s="145"/>
      <c r="Q276" s="145"/>
      <c r="R276" s="145"/>
      <c r="S276" s="19">
        <v>400</v>
      </c>
      <c r="T276" s="154"/>
      <c r="V276" s="6">
        <f t="shared" ref="V276:V339" si="87">G276-H276-I276-J276-K276</f>
        <v>0</v>
      </c>
    </row>
    <row r="277" spans="1:22" s="26" customFormat="1" ht="60">
      <c r="A277" s="75">
        <v>6</v>
      </c>
      <c r="B277" s="59" t="s">
        <v>608</v>
      </c>
      <c r="C277" s="31" t="s">
        <v>40</v>
      </c>
      <c r="D277" s="15"/>
      <c r="E277" s="32">
        <v>2021</v>
      </c>
      <c r="F277" s="38" t="s">
        <v>609</v>
      </c>
      <c r="G277" s="64">
        <f t="shared" si="85"/>
        <v>210</v>
      </c>
      <c r="H277" s="64"/>
      <c r="I277" s="64"/>
      <c r="J277" s="64"/>
      <c r="K277" s="64">
        <v>210</v>
      </c>
      <c r="L277" s="64"/>
      <c r="M277" s="19">
        <f t="shared" si="86"/>
        <v>190</v>
      </c>
      <c r="N277" s="145"/>
      <c r="O277" s="145"/>
      <c r="P277" s="145"/>
      <c r="Q277" s="145"/>
      <c r="R277" s="145"/>
      <c r="S277" s="19">
        <v>190</v>
      </c>
      <c r="T277" s="154"/>
      <c r="V277" s="6">
        <f t="shared" si="87"/>
        <v>0</v>
      </c>
    </row>
    <row r="278" spans="1:22" s="26" customFormat="1" ht="75">
      <c r="A278" s="75">
        <v>7</v>
      </c>
      <c r="B278" s="72" t="s">
        <v>610</v>
      </c>
      <c r="C278" s="40" t="s">
        <v>52</v>
      </c>
      <c r="D278" s="15"/>
      <c r="E278" s="40">
        <v>2024</v>
      </c>
      <c r="F278" s="40" t="s">
        <v>611</v>
      </c>
      <c r="G278" s="64">
        <f t="shared" si="85"/>
        <v>689</v>
      </c>
      <c r="H278" s="64"/>
      <c r="I278" s="64"/>
      <c r="J278" s="64"/>
      <c r="K278" s="64">
        <v>689</v>
      </c>
      <c r="L278" s="64"/>
      <c r="M278" s="19">
        <f t="shared" si="86"/>
        <v>450</v>
      </c>
      <c r="N278" s="145"/>
      <c r="O278" s="145"/>
      <c r="P278" s="145"/>
      <c r="Q278" s="145"/>
      <c r="R278" s="145"/>
      <c r="S278" s="19">
        <v>450</v>
      </c>
      <c r="T278" s="154"/>
      <c r="V278" s="6">
        <f t="shared" si="87"/>
        <v>0</v>
      </c>
    </row>
    <row r="279" spans="1:22" s="26" customFormat="1" ht="30">
      <c r="A279" s="75">
        <v>8</v>
      </c>
      <c r="B279" s="72" t="s">
        <v>612</v>
      </c>
      <c r="C279" s="31" t="s">
        <v>40</v>
      </c>
      <c r="D279" s="15"/>
      <c r="E279" s="32" t="s">
        <v>41</v>
      </c>
      <c r="F279" s="38" t="s">
        <v>613</v>
      </c>
      <c r="G279" s="64">
        <f t="shared" si="85"/>
        <v>323</v>
      </c>
      <c r="H279" s="64"/>
      <c r="I279" s="64"/>
      <c r="J279" s="64"/>
      <c r="K279" s="64">
        <v>323</v>
      </c>
      <c r="L279" s="64">
        <v>200</v>
      </c>
      <c r="M279" s="19">
        <f t="shared" si="86"/>
        <v>123</v>
      </c>
      <c r="N279" s="145"/>
      <c r="O279" s="145"/>
      <c r="P279" s="145"/>
      <c r="Q279" s="145"/>
      <c r="R279" s="145"/>
      <c r="S279" s="19">
        <v>123</v>
      </c>
      <c r="T279" s="154"/>
      <c r="V279" s="6">
        <f t="shared" si="87"/>
        <v>0</v>
      </c>
    </row>
    <row r="280" spans="1:22" s="158" customFormat="1" ht="19.5" customHeight="1">
      <c r="A280" s="487" t="s">
        <v>69</v>
      </c>
      <c r="B280" s="476" t="s">
        <v>70</v>
      </c>
      <c r="C280" s="493"/>
      <c r="D280" s="248"/>
      <c r="E280" s="494"/>
      <c r="F280" s="489">
        <f t="shared" ref="F280:T280" si="88">F281+F286+F289</f>
        <v>0</v>
      </c>
      <c r="G280" s="489">
        <f t="shared" si="88"/>
        <v>1016051</v>
      </c>
      <c r="H280" s="489">
        <f t="shared" si="88"/>
        <v>0</v>
      </c>
      <c r="I280" s="489">
        <f t="shared" si="88"/>
        <v>0</v>
      </c>
      <c r="J280" s="489">
        <f t="shared" si="88"/>
        <v>0</v>
      </c>
      <c r="K280" s="489">
        <f t="shared" si="88"/>
        <v>1016051</v>
      </c>
      <c r="L280" s="489">
        <f t="shared" si="88"/>
        <v>354041</v>
      </c>
      <c r="M280" s="469">
        <f t="shared" si="88"/>
        <v>767537</v>
      </c>
      <c r="N280" s="470">
        <f t="shared" si="88"/>
        <v>0</v>
      </c>
      <c r="O280" s="470">
        <f t="shared" si="88"/>
        <v>0</v>
      </c>
      <c r="P280" s="470">
        <f t="shared" si="88"/>
        <v>0</v>
      </c>
      <c r="Q280" s="470">
        <f t="shared" si="88"/>
        <v>50000</v>
      </c>
      <c r="R280" s="470">
        <f t="shared" si="88"/>
        <v>0</v>
      </c>
      <c r="S280" s="469">
        <f t="shared" si="88"/>
        <v>717537</v>
      </c>
      <c r="T280" s="471">
        <f t="shared" si="88"/>
        <v>0</v>
      </c>
      <c r="V280" s="6">
        <f t="shared" si="87"/>
        <v>0</v>
      </c>
    </row>
    <row r="281" spans="1:22" ht="28.5">
      <c r="A281" s="46" t="s">
        <v>71</v>
      </c>
      <c r="B281" s="47" t="s">
        <v>72</v>
      </c>
      <c r="C281" s="29"/>
      <c r="D281" s="29"/>
      <c r="E281" s="29"/>
      <c r="F281" s="163"/>
      <c r="G281" s="58">
        <f t="shared" ref="G281:T281" si="89">SUM(G282:G285)</f>
        <v>97314</v>
      </c>
      <c r="H281" s="58">
        <f t="shared" si="89"/>
        <v>0</v>
      </c>
      <c r="I281" s="58">
        <f t="shared" si="89"/>
        <v>0</v>
      </c>
      <c r="J281" s="58">
        <f t="shared" si="89"/>
        <v>0</v>
      </c>
      <c r="K281" s="58">
        <f t="shared" si="89"/>
        <v>97314</v>
      </c>
      <c r="L281" s="58">
        <f t="shared" si="89"/>
        <v>71319</v>
      </c>
      <c r="M281" s="48">
        <f t="shared" si="89"/>
        <v>19271</v>
      </c>
      <c r="N281" s="49">
        <f t="shared" si="89"/>
        <v>0</v>
      </c>
      <c r="O281" s="49">
        <f t="shared" si="89"/>
        <v>0</v>
      </c>
      <c r="P281" s="49">
        <f t="shared" si="89"/>
        <v>0</v>
      </c>
      <c r="Q281" s="49">
        <f t="shared" si="89"/>
        <v>0</v>
      </c>
      <c r="R281" s="49">
        <f t="shared" si="89"/>
        <v>0</v>
      </c>
      <c r="S281" s="48">
        <f t="shared" si="89"/>
        <v>19271</v>
      </c>
      <c r="T281" s="50">
        <f t="shared" si="89"/>
        <v>0</v>
      </c>
      <c r="V281" s="6">
        <f t="shared" si="87"/>
        <v>0</v>
      </c>
    </row>
    <row r="282" spans="1:22" ht="30">
      <c r="A282" s="53">
        <v>1</v>
      </c>
      <c r="B282" s="59" t="s">
        <v>614</v>
      </c>
      <c r="C282" s="53" t="s">
        <v>40</v>
      </c>
      <c r="D282" s="53" t="s">
        <v>31</v>
      </c>
      <c r="E282" s="53" t="s">
        <v>227</v>
      </c>
      <c r="F282" s="53" t="s">
        <v>615</v>
      </c>
      <c r="G282" s="54">
        <f>SUM(H282:K282)</f>
        <v>7951</v>
      </c>
      <c r="H282" s="54"/>
      <c r="I282" s="54"/>
      <c r="J282" s="54"/>
      <c r="K282" s="54">
        <v>7951</v>
      </c>
      <c r="L282" s="54">
        <v>7009</v>
      </c>
      <c r="M282" s="57">
        <f>SUM(N282:S282)</f>
        <v>97</v>
      </c>
      <c r="N282" s="61"/>
      <c r="O282" s="61"/>
      <c r="P282" s="61"/>
      <c r="Q282" s="61"/>
      <c r="R282" s="61"/>
      <c r="S282" s="68">
        <f>69+28</f>
        <v>97</v>
      </c>
      <c r="T282" s="37"/>
      <c r="V282" s="6">
        <f t="shared" si="87"/>
        <v>0</v>
      </c>
    </row>
    <row r="283" spans="1:22" ht="30">
      <c r="A283" s="53">
        <v>2</v>
      </c>
      <c r="B283" s="59" t="s">
        <v>616</v>
      </c>
      <c r="C283" s="53" t="s">
        <v>67</v>
      </c>
      <c r="D283" s="53" t="s">
        <v>31</v>
      </c>
      <c r="E283" s="53" t="s">
        <v>227</v>
      </c>
      <c r="F283" s="53" t="s">
        <v>617</v>
      </c>
      <c r="G283" s="54">
        <f>SUM(H283:K283)</f>
        <v>7346</v>
      </c>
      <c r="H283" s="54"/>
      <c r="I283" s="54"/>
      <c r="J283" s="54"/>
      <c r="K283" s="54">
        <v>7346</v>
      </c>
      <c r="L283" s="54">
        <v>7275</v>
      </c>
      <c r="M283" s="57">
        <f>SUM(N283:S283)</f>
        <v>299</v>
      </c>
      <c r="N283" s="61"/>
      <c r="O283" s="61"/>
      <c r="P283" s="61"/>
      <c r="Q283" s="61"/>
      <c r="R283" s="61"/>
      <c r="S283" s="68">
        <v>299</v>
      </c>
      <c r="T283" s="37"/>
      <c r="V283" s="6">
        <f t="shared" si="87"/>
        <v>0</v>
      </c>
    </row>
    <row r="284" spans="1:22" ht="180">
      <c r="A284" s="53">
        <v>3</v>
      </c>
      <c r="B284" s="59" t="s">
        <v>618</v>
      </c>
      <c r="C284" s="53" t="s">
        <v>123</v>
      </c>
      <c r="D284" s="53" t="s">
        <v>26</v>
      </c>
      <c r="E284" s="53" t="s">
        <v>619</v>
      </c>
      <c r="F284" s="53" t="s">
        <v>620</v>
      </c>
      <c r="G284" s="54">
        <f>SUM(H284:K284)</f>
        <v>73335</v>
      </c>
      <c r="H284" s="54"/>
      <c r="I284" s="54"/>
      <c r="J284" s="54"/>
      <c r="K284" s="54">
        <v>73335</v>
      </c>
      <c r="L284" s="60">
        <v>49200</v>
      </c>
      <c r="M284" s="57">
        <f>SUM(N284:S284)</f>
        <v>18723</v>
      </c>
      <c r="N284" s="66"/>
      <c r="O284" s="66"/>
      <c r="P284" s="66"/>
      <c r="Q284" s="66"/>
      <c r="R284" s="66"/>
      <c r="S284" s="67">
        <f>5690+13033</f>
        <v>18723</v>
      </c>
      <c r="T284" s="94" t="s">
        <v>621</v>
      </c>
      <c r="V284" s="6">
        <f t="shared" si="87"/>
        <v>0</v>
      </c>
    </row>
    <row r="285" spans="1:22" ht="30">
      <c r="A285" s="53">
        <v>4</v>
      </c>
      <c r="B285" s="59" t="s">
        <v>622</v>
      </c>
      <c r="C285" s="53" t="s">
        <v>64</v>
      </c>
      <c r="D285" s="53" t="s">
        <v>31</v>
      </c>
      <c r="E285" s="53" t="s">
        <v>227</v>
      </c>
      <c r="F285" s="53" t="s">
        <v>623</v>
      </c>
      <c r="G285" s="54">
        <f>SUM(H285:K285)</f>
        <v>8682</v>
      </c>
      <c r="H285" s="54"/>
      <c r="I285" s="54"/>
      <c r="J285" s="54"/>
      <c r="K285" s="54">
        <v>8682</v>
      </c>
      <c r="L285" s="54">
        <v>7835</v>
      </c>
      <c r="M285" s="57">
        <f>SUM(N285:S285)</f>
        <v>152</v>
      </c>
      <c r="N285" s="61"/>
      <c r="O285" s="61"/>
      <c r="P285" s="61"/>
      <c r="Q285" s="61"/>
      <c r="R285" s="61"/>
      <c r="S285" s="68">
        <v>152</v>
      </c>
      <c r="T285" s="37"/>
      <c r="V285" s="6">
        <f t="shared" si="87"/>
        <v>0</v>
      </c>
    </row>
    <row r="286" spans="1:22">
      <c r="A286" s="46" t="s">
        <v>82</v>
      </c>
      <c r="B286" s="47" t="s">
        <v>83</v>
      </c>
      <c r="C286" s="29"/>
      <c r="D286" s="29"/>
      <c r="E286" s="29"/>
      <c r="F286" s="29"/>
      <c r="G286" s="58">
        <f t="shared" ref="G286:T286" si="90">SUM(G287:G288)</f>
        <v>613445</v>
      </c>
      <c r="H286" s="58">
        <f t="shared" si="90"/>
        <v>0</v>
      </c>
      <c r="I286" s="58">
        <f t="shared" si="90"/>
        <v>0</v>
      </c>
      <c r="J286" s="58">
        <f t="shared" si="90"/>
        <v>0</v>
      </c>
      <c r="K286" s="58">
        <f t="shared" si="90"/>
        <v>613445</v>
      </c>
      <c r="L286" s="58">
        <f t="shared" si="90"/>
        <v>282722</v>
      </c>
      <c r="M286" s="48">
        <f t="shared" si="90"/>
        <v>446038</v>
      </c>
      <c r="N286" s="49">
        <f t="shared" si="90"/>
        <v>0</v>
      </c>
      <c r="O286" s="49">
        <f t="shared" si="90"/>
        <v>0</v>
      </c>
      <c r="P286" s="49">
        <f t="shared" si="90"/>
        <v>0</v>
      </c>
      <c r="Q286" s="49">
        <f t="shared" si="90"/>
        <v>0</v>
      </c>
      <c r="R286" s="49">
        <f t="shared" si="90"/>
        <v>0</v>
      </c>
      <c r="S286" s="48">
        <f t="shared" si="90"/>
        <v>446038</v>
      </c>
      <c r="T286" s="50">
        <f t="shared" si="90"/>
        <v>0</v>
      </c>
      <c r="V286" s="6">
        <f t="shared" si="87"/>
        <v>0</v>
      </c>
    </row>
    <row r="287" spans="1:22" ht="30">
      <c r="A287" s="53">
        <v>1</v>
      </c>
      <c r="B287" s="59" t="s">
        <v>624</v>
      </c>
      <c r="C287" s="53" t="s">
        <v>40</v>
      </c>
      <c r="D287" s="53" t="s">
        <v>31</v>
      </c>
      <c r="E287" s="53" t="s">
        <v>59</v>
      </c>
      <c r="F287" s="53" t="s">
        <v>625</v>
      </c>
      <c r="G287" s="54">
        <f>SUM(H287:K287)</f>
        <v>26864</v>
      </c>
      <c r="H287" s="54"/>
      <c r="I287" s="54"/>
      <c r="J287" s="54"/>
      <c r="K287" s="54">
        <v>26864</v>
      </c>
      <c r="L287" s="60">
        <v>10651</v>
      </c>
      <c r="M287" s="57">
        <f>SUM(N287:S287)</f>
        <v>16978</v>
      </c>
      <c r="N287" s="66"/>
      <c r="O287" s="66"/>
      <c r="P287" s="66"/>
      <c r="Q287" s="66"/>
      <c r="R287" s="66"/>
      <c r="S287" s="67">
        <f>16213+765</f>
        <v>16978</v>
      </c>
      <c r="T287" s="37"/>
      <c r="V287" s="6">
        <f t="shared" si="87"/>
        <v>0</v>
      </c>
    </row>
    <row r="288" spans="1:22" ht="30">
      <c r="A288" s="53">
        <v>2</v>
      </c>
      <c r="B288" s="59" t="s">
        <v>626</v>
      </c>
      <c r="C288" s="53" t="s">
        <v>40</v>
      </c>
      <c r="D288" s="53" t="s">
        <v>26</v>
      </c>
      <c r="E288" s="53" t="s">
        <v>59</v>
      </c>
      <c r="F288" s="53" t="s">
        <v>627</v>
      </c>
      <c r="G288" s="54">
        <f>SUM(H288:K288)</f>
        <v>586581</v>
      </c>
      <c r="H288" s="54"/>
      <c r="I288" s="54"/>
      <c r="J288" s="54"/>
      <c r="K288" s="54">
        <v>586581</v>
      </c>
      <c r="L288" s="54">
        <f>271171+900</f>
        <v>272071</v>
      </c>
      <c r="M288" s="57">
        <f>SUM(N288:S288)</f>
        <v>429060</v>
      </c>
      <c r="N288" s="61"/>
      <c r="O288" s="61"/>
      <c r="P288" s="61"/>
      <c r="Q288" s="61"/>
      <c r="R288" s="61"/>
      <c r="S288" s="67">
        <f>323010+106050</f>
        <v>429060</v>
      </c>
      <c r="T288" s="37"/>
      <c r="V288" s="6">
        <f t="shared" si="87"/>
        <v>0</v>
      </c>
    </row>
    <row r="289" spans="1:22">
      <c r="A289" s="46" t="s">
        <v>102</v>
      </c>
      <c r="B289" s="47" t="s">
        <v>103</v>
      </c>
      <c r="C289" s="29"/>
      <c r="D289" s="29"/>
      <c r="E289" s="29"/>
      <c r="F289" s="28"/>
      <c r="G289" s="28">
        <f t="shared" ref="G289:Q289" si="91">SUM(G290:G295)</f>
        <v>305292</v>
      </c>
      <c r="H289" s="28">
        <f t="shared" si="91"/>
        <v>0</v>
      </c>
      <c r="I289" s="28">
        <f t="shared" si="91"/>
        <v>0</v>
      </c>
      <c r="J289" s="28">
        <f t="shared" si="91"/>
        <v>0</v>
      </c>
      <c r="K289" s="28">
        <f t="shared" si="91"/>
        <v>305292</v>
      </c>
      <c r="L289" s="28">
        <f t="shared" si="91"/>
        <v>0</v>
      </c>
      <c r="M289" s="28">
        <f t="shared" si="91"/>
        <v>302228</v>
      </c>
      <c r="N289" s="36">
        <f t="shared" si="91"/>
        <v>0</v>
      </c>
      <c r="O289" s="36">
        <f t="shared" si="91"/>
        <v>0</v>
      </c>
      <c r="P289" s="36">
        <f t="shared" si="91"/>
        <v>0</v>
      </c>
      <c r="Q289" s="36">
        <f t="shared" si="91"/>
        <v>50000</v>
      </c>
      <c r="R289" s="36">
        <f>SUM(R290:R295)</f>
        <v>0</v>
      </c>
      <c r="S289" s="28">
        <f>SUM(S290:S295)</f>
        <v>252228</v>
      </c>
      <c r="T289" s="70">
        <f>SUM(T290:T295)</f>
        <v>0</v>
      </c>
      <c r="V289" s="6">
        <f t="shared" si="87"/>
        <v>0</v>
      </c>
    </row>
    <row r="290" spans="1:22" ht="30">
      <c r="A290" s="53">
        <v>1</v>
      </c>
      <c r="B290" s="59" t="s">
        <v>628</v>
      </c>
      <c r="C290" s="53" t="s">
        <v>40</v>
      </c>
      <c r="D290" s="53" t="s">
        <v>31</v>
      </c>
      <c r="E290" s="53" t="s">
        <v>283</v>
      </c>
      <c r="F290" s="53" t="s">
        <v>629</v>
      </c>
      <c r="G290" s="54">
        <f t="shared" ref="G290" si="92">SUM(H290:K290)</f>
        <v>28206</v>
      </c>
      <c r="H290" s="54"/>
      <c r="I290" s="54"/>
      <c r="J290" s="54"/>
      <c r="K290" s="54">
        <v>28206</v>
      </c>
      <c r="L290" s="54"/>
      <c r="M290" s="57">
        <f t="shared" ref="M290:M293" si="93">SUM(N290:S290)</f>
        <v>28006</v>
      </c>
      <c r="N290" s="61"/>
      <c r="O290" s="61"/>
      <c r="P290" s="61"/>
      <c r="Q290" s="61"/>
      <c r="R290" s="61"/>
      <c r="S290" s="67">
        <v>28006</v>
      </c>
      <c r="T290" s="37"/>
      <c r="V290" s="6">
        <f t="shared" si="87"/>
        <v>0</v>
      </c>
    </row>
    <row r="291" spans="1:22" ht="45">
      <c r="A291" s="53">
        <v>2</v>
      </c>
      <c r="B291" s="72" t="s">
        <v>630</v>
      </c>
      <c r="C291" s="53" t="s">
        <v>40</v>
      </c>
      <c r="D291" s="40" t="s">
        <v>31</v>
      </c>
      <c r="E291" s="53" t="s">
        <v>283</v>
      </c>
      <c r="F291" s="53" t="s">
        <v>631</v>
      </c>
      <c r="G291" s="54">
        <f>SUM(H291:K291)</f>
        <v>4923</v>
      </c>
      <c r="H291" s="54"/>
      <c r="I291" s="54"/>
      <c r="J291" s="54"/>
      <c r="K291" s="54">
        <v>4923</v>
      </c>
      <c r="L291" s="54"/>
      <c r="M291" s="57">
        <f t="shared" si="93"/>
        <v>4809</v>
      </c>
      <c r="N291" s="61"/>
      <c r="O291" s="61"/>
      <c r="P291" s="61"/>
      <c r="Q291" s="61"/>
      <c r="R291" s="61"/>
      <c r="S291" s="122">
        <v>4809</v>
      </c>
      <c r="T291" s="37"/>
      <c r="V291" s="6">
        <f t="shared" si="87"/>
        <v>0</v>
      </c>
    </row>
    <row r="292" spans="1:22" ht="30">
      <c r="A292" s="53">
        <v>3</v>
      </c>
      <c r="B292" s="72" t="s">
        <v>632</v>
      </c>
      <c r="C292" s="53" t="s">
        <v>40</v>
      </c>
      <c r="D292" s="40" t="s">
        <v>31</v>
      </c>
      <c r="E292" s="53" t="s">
        <v>283</v>
      </c>
      <c r="F292" s="53" t="s">
        <v>633</v>
      </c>
      <c r="G292" s="54">
        <v>13000</v>
      </c>
      <c r="H292" s="54"/>
      <c r="I292" s="54"/>
      <c r="J292" s="54"/>
      <c r="K292" s="54">
        <v>13000</v>
      </c>
      <c r="L292" s="54"/>
      <c r="M292" s="57">
        <f t="shared" si="93"/>
        <v>12549</v>
      </c>
      <c r="N292" s="61"/>
      <c r="O292" s="61"/>
      <c r="P292" s="61"/>
      <c r="Q292" s="61"/>
      <c r="R292" s="61"/>
      <c r="S292" s="122">
        <v>12549</v>
      </c>
      <c r="T292" s="37"/>
      <c r="V292" s="6">
        <f t="shared" si="87"/>
        <v>0</v>
      </c>
    </row>
    <row r="293" spans="1:22" ht="60">
      <c r="A293" s="53">
        <v>4</v>
      </c>
      <c r="B293" s="72" t="s">
        <v>598</v>
      </c>
      <c r="C293" s="53" t="s">
        <v>40</v>
      </c>
      <c r="D293" s="40" t="s">
        <v>26</v>
      </c>
      <c r="E293" s="53" t="s">
        <v>115</v>
      </c>
      <c r="F293" s="53" t="s">
        <v>634</v>
      </c>
      <c r="G293" s="54">
        <v>149988</v>
      </c>
      <c r="H293" s="54"/>
      <c r="I293" s="54"/>
      <c r="J293" s="54"/>
      <c r="K293" s="54">
        <v>149988</v>
      </c>
      <c r="L293" s="93"/>
      <c r="M293" s="57">
        <f t="shared" si="93"/>
        <v>148413</v>
      </c>
      <c r="N293" s="61"/>
      <c r="O293" s="61"/>
      <c r="P293" s="61"/>
      <c r="Q293" s="61">
        <v>50000</v>
      </c>
      <c r="R293" s="61"/>
      <c r="S293" s="122">
        <f>148413-50000</f>
        <v>98413</v>
      </c>
      <c r="T293" s="71" t="s">
        <v>635</v>
      </c>
      <c r="V293" s="6">
        <f t="shared" si="87"/>
        <v>0</v>
      </c>
    </row>
    <row r="294" spans="1:22" ht="30">
      <c r="A294" s="53">
        <v>5</v>
      </c>
      <c r="B294" s="59" t="s">
        <v>636</v>
      </c>
      <c r="C294" s="53" t="s">
        <v>40</v>
      </c>
      <c r="D294" s="53" t="s">
        <v>31</v>
      </c>
      <c r="E294" s="53" t="s">
        <v>283</v>
      </c>
      <c r="F294" s="53" t="s">
        <v>637</v>
      </c>
      <c r="G294" s="54">
        <f>SUM(H294:K294)</f>
        <v>7979</v>
      </c>
      <c r="H294" s="54"/>
      <c r="I294" s="54"/>
      <c r="J294" s="54"/>
      <c r="K294" s="54">
        <v>7979</v>
      </c>
      <c r="L294" s="54"/>
      <c r="M294" s="57">
        <f>SUM(N294:S294)</f>
        <v>7705</v>
      </c>
      <c r="N294" s="61"/>
      <c r="O294" s="61"/>
      <c r="P294" s="61"/>
      <c r="Q294" s="61"/>
      <c r="R294" s="61"/>
      <c r="S294" s="67">
        <v>7705</v>
      </c>
      <c r="T294" s="37"/>
      <c r="V294" s="6">
        <f t="shared" si="87"/>
        <v>0</v>
      </c>
    </row>
    <row r="295" spans="1:22" ht="30">
      <c r="A295" s="53">
        <v>6</v>
      </c>
      <c r="B295" s="72" t="s">
        <v>610</v>
      </c>
      <c r="C295" s="40" t="s">
        <v>52</v>
      </c>
      <c r="D295" s="40" t="s">
        <v>26</v>
      </c>
      <c r="E295" s="53" t="s">
        <v>55</v>
      </c>
      <c r="F295" s="157" t="s">
        <v>638</v>
      </c>
      <c r="G295" s="483">
        <v>101196</v>
      </c>
      <c r="H295" s="98"/>
      <c r="I295" s="98"/>
      <c r="J295" s="98"/>
      <c r="K295" s="483">
        <v>101196</v>
      </c>
      <c r="L295" s="93"/>
      <c r="M295" s="57">
        <f>SUM(N295:S295)</f>
        <v>100746</v>
      </c>
      <c r="N295" s="61"/>
      <c r="O295" s="61"/>
      <c r="P295" s="61"/>
      <c r="Q295" s="61"/>
      <c r="R295" s="61"/>
      <c r="S295" s="122">
        <v>100746</v>
      </c>
      <c r="T295" s="71"/>
      <c r="V295" s="6">
        <f t="shared" si="87"/>
        <v>0</v>
      </c>
    </row>
    <row r="296" spans="1:22">
      <c r="A296" s="199" t="s">
        <v>639</v>
      </c>
      <c r="B296" s="47" t="s">
        <v>640</v>
      </c>
      <c r="C296" s="29"/>
      <c r="D296" s="29"/>
      <c r="E296" s="29"/>
      <c r="F296" s="48">
        <f t="shared" ref="F296:T296" si="94">F299+F297</f>
        <v>0</v>
      </c>
      <c r="G296" s="48">
        <f t="shared" si="94"/>
        <v>288346</v>
      </c>
      <c r="H296" s="48">
        <f t="shared" si="94"/>
        <v>0</v>
      </c>
      <c r="I296" s="48">
        <f t="shared" si="94"/>
        <v>20783</v>
      </c>
      <c r="J296" s="48">
        <f t="shared" si="94"/>
        <v>20783</v>
      </c>
      <c r="K296" s="48">
        <f t="shared" si="94"/>
        <v>246780</v>
      </c>
      <c r="L296" s="48">
        <f t="shared" si="94"/>
        <v>41126</v>
      </c>
      <c r="M296" s="48">
        <f t="shared" si="94"/>
        <v>147860</v>
      </c>
      <c r="N296" s="49">
        <f t="shared" si="94"/>
        <v>0</v>
      </c>
      <c r="O296" s="49">
        <f t="shared" si="94"/>
        <v>20783</v>
      </c>
      <c r="P296" s="49">
        <f t="shared" si="94"/>
        <v>20783</v>
      </c>
      <c r="Q296" s="49">
        <f t="shared" si="94"/>
        <v>0</v>
      </c>
      <c r="R296" s="49">
        <f t="shared" si="94"/>
        <v>0</v>
      </c>
      <c r="S296" s="48">
        <f t="shared" si="94"/>
        <v>106294</v>
      </c>
      <c r="T296" s="50">
        <f t="shared" si="94"/>
        <v>0</v>
      </c>
      <c r="V296" s="6">
        <f t="shared" si="87"/>
        <v>0</v>
      </c>
    </row>
    <row r="297" spans="1:22" s="158" customFormat="1" ht="20.25" customHeight="1">
      <c r="A297" s="468" t="s">
        <v>37</v>
      </c>
      <c r="B297" s="309" t="s">
        <v>38</v>
      </c>
      <c r="C297" s="248"/>
      <c r="D297" s="248"/>
      <c r="E297" s="248"/>
      <c r="F297" s="492"/>
      <c r="G297" s="489">
        <f>SUM(G298)</f>
        <v>234</v>
      </c>
      <c r="H297" s="489">
        <f t="shared" ref="H297:T297" si="95">SUM(H298)</f>
        <v>0</v>
      </c>
      <c r="I297" s="489">
        <f t="shared" si="95"/>
        <v>0</v>
      </c>
      <c r="J297" s="489">
        <f t="shared" si="95"/>
        <v>0</v>
      </c>
      <c r="K297" s="489">
        <f t="shared" si="95"/>
        <v>234</v>
      </c>
      <c r="L297" s="489">
        <f t="shared" si="95"/>
        <v>0</v>
      </c>
      <c r="M297" s="469">
        <f t="shared" si="95"/>
        <v>220</v>
      </c>
      <c r="N297" s="470">
        <f t="shared" si="95"/>
        <v>0</v>
      </c>
      <c r="O297" s="470">
        <f t="shared" si="95"/>
        <v>0</v>
      </c>
      <c r="P297" s="470">
        <f t="shared" si="95"/>
        <v>0</v>
      </c>
      <c r="Q297" s="470">
        <f t="shared" si="95"/>
        <v>0</v>
      </c>
      <c r="R297" s="470">
        <f t="shared" si="95"/>
        <v>0</v>
      </c>
      <c r="S297" s="469">
        <f t="shared" si="95"/>
        <v>220</v>
      </c>
      <c r="T297" s="471">
        <f t="shared" si="95"/>
        <v>0</v>
      </c>
      <c r="V297" s="6">
        <f t="shared" si="87"/>
        <v>0</v>
      </c>
    </row>
    <row r="298" spans="1:22" s="26" customFormat="1" ht="87.4" customHeight="1">
      <c r="A298" s="30">
        <v>1</v>
      </c>
      <c r="B298" s="72" t="s">
        <v>641</v>
      </c>
      <c r="C298" s="40" t="s">
        <v>642</v>
      </c>
      <c r="D298" s="15"/>
      <c r="E298" s="40">
        <v>2024</v>
      </c>
      <c r="F298" s="40" t="s">
        <v>643</v>
      </c>
      <c r="G298" s="74">
        <f>SUM(H298:K298)</f>
        <v>234</v>
      </c>
      <c r="H298" s="64"/>
      <c r="I298" s="64"/>
      <c r="J298" s="64"/>
      <c r="K298" s="74">
        <v>234</v>
      </c>
      <c r="L298" s="64"/>
      <c r="M298" s="19">
        <f>SUM(N298:S298)</f>
        <v>220</v>
      </c>
      <c r="N298" s="145"/>
      <c r="O298" s="145"/>
      <c r="P298" s="145"/>
      <c r="Q298" s="145"/>
      <c r="R298" s="145"/>
      <c r="S298" s="67">
        <v>220</v>
      </c>
      <c r="T298" s="154"/>
      <c r="V298" s="6">
        <f t="shared" si="87"/>
        <v>0</v>
      </c>
    </row>
    <row r="299" spans="1:22" ht="21" customHeight="1">
      <c r="A299" s="199" t="s">
        <v>69</v>
      </c>
      <c r="B299" s="47" t="s">
        <v>70</v>
      </c>
      <c r="C299" s="29"/>
      <c r="D299" s="29"/>
      <c r="E299" s="29"/>
      <c r="F299" s="58">
        <f t="shared" ref="F299:T299" si="96">F300+F303+F307</f>
        <v>0</v>
      </c>
      <c r="G299" s="58">
        <f t="shared" si="96"/>
        <v>288112</v>
      </c>
      <c r="H299" s="58">
        <f t="shared" si="96"/>
        <v>0</v>
      </c>
      <c r="I299" s="58">
        <f t="shared" si="96"/>
        <v>20783</v>
      </c>
      <c r="J299" s="58">
        <f t="shared" si="96"/>
        <v>20783</v>
      </c>
      <c r="K299" s="58">
        <f t="shared" si="96"/>
        <v>246546</v>
      </c>
      <c r="L299" s="58">
        <f t="shared" si="96"/>
        <v>41126</v>
      </c>
      <c r="M299" s="48">
        <f t="shared" si="96"/>
        <v>147640</v>
      </c>
      <c r="N299" s="49">
        <f t="shared" si="96"/>
        <v>0</v>
      </c>
      <c r="O299" s="49">
        <f t="shared" si="96"/>
        <v>20783</v>
      </c>
      <c r="P299" s="49">
        <f t="shared" si="96"/>
        <v>20783</v>
      </c>
      <c r="Q299" s="49">
        <f t="shared" si="96"/>
        <v>0</v>
      </c>
      <c r="R299" s="49">
        <f t="shared" si="96"/>
        <v>0</v>
      </c>
      <c r="S299" s="48">
        <f t="shared" si="96"/>
        <v>106074</v>
      </c>
      <c r="T299" s="50">
        <f t="shared" si="96"/>
        <v>0</v>
      </c>
      <c r="V299" s="6">
        <f t="shared" si="87"/>
        <v>0</v>
      </c>
    </row>
    <row r="300" spans="1:22" ht="28.5">
      <c r="A300" s="46" t="s">
        <v>71</v>
      </c>
      <c r="B300" s="47" t="s">
        <v>72</v>
      </c>
      <c r="C300" s="29"/>
      <c r="D300" s="29"/>
      <c r="E300" s="29"/>
      <c r="F300" s="58">
        <f t="shared" ref="F300:T300" si="97">SUM(F301:F302)</f>
        <v>0</v>
      </c>
      <c r="G300" s="58">
        <f t="shared" si="97"/>
        <v>14927</v>
      </c>
      <c r="H300" s="58">
        <f t="shared" si="97"/>
        <v>0</v>
      </c>
      <c r="I300" s="58">
        <f t="shared" si="97"/>
        <v>0</v>
      </c>
      <c r="J300" s="58">
        <f t="shared" si="97"/>
        <v>0</v>
      </c>
      <c r="K300" s="58">
        <f t="shared" si="97"/>
        <v>14927</v>
      </c>
      <c r="L300" s="58">
        <f t="shared" si="97"/>
        <v>10026</v>
      </c>
      <c r="M300" s="48">
        <f t="shared" si="97"/>
        <v>2464</v>
      </c>
      <c r="N300" s="49">
        <f t="shared" si="97"/>
        <v>0</v>
      </c>
      <c r="O300" s="49">
        <f t="shared" si="97"/>
        <v>0</v>
      </c>
      <c r="P300" s="49">
        <f t="shared" si="97"/>
        <v>0</v>
      </c>
      <c r="Q300" s="49"/>
      <c r="R300" s="49">
        <f t="shared" si="97"/>
        <v>0</v>
      </c>
      <c r="S300" s="48">
        <f t="shared" si="97"/>
        <v>2464</v>
      </c>
      <c r="T300" s="50">
        <f t="shared" si="97"/>
        <v>0</v>
      </c>
      <c r="V300" s="6">
        <f t="shared" si="87"/>
        <v>0</v>
      </c>
    </row>
    <row r="301" spans="1:22" ht="45">
      <c r="A301" s="53">
        <v>1</v>
      </c>
      <c r="B301" s="72" t="s">
        <v>644</v>
      </c>
      <c r="C301" s="53" t="s">
        <v>136</v>
      </c>
      <c r="D301" s="53" t="s">
        <v>31</v>
      </c>
      <c r="E301" s="53" t="s">
        <v>59</v>
      </c>
      <c r="F301" s="40" t="s">
        <v>645</v>
      </c>
      <c r="G301" s="54">
        <f>SUM(H301:K301)</f>
        <v>5804</v>
      </c>
      <c r="H301" s="109"/>
      <c r="I301" s="54"/>
      <c r="J301" s="109"/>
      <c r="K301" s="109">
        <v>5804</v>
      </c>
      <c r="L301" s="54">
        <v>4000</v>
      </c>
      <c r="M301" s="57">
        <f>SUM(N301:S301)</f>
        <v>1800</v>
      </c>
      <c r="N301" s="61"/>
      <c r="O301" s="61"/>
      <c r="P301" s="61"/>
      <c r="Q301" s="61"/>
      <c r="R301" s="61"/>
      <c r="S301" s="68">
        <v>1800</v>
      </c>
      <c r="T301" s="37"/>
      <c r="V301" s="6">
        <f t="shared" si="87"/>
        <v>0</v>
      </c>
    </row>
    <row r="302" spans="1:22" ht="60">
      <c r="A302" s="53">
        <v>2</v>
      </c>
      <c r="B302" s="59" t="s">
        <v>646</v>
      </c>
      <c r="C302" s="53" t="s">
        <v>64</v>
      </c>
      <c r="D302" s="53" t="s">
        <v>31</v>
      </c>
      <c r="E302" s="164" t="s">
        <v>547</v>
      </c>
      <c r="F302" s="53" t="s">
        <v>647</v>
      </c>
      <c r="G302" s="54">
        <f>SUM(H302:K302)</f>
        <v>9123</v>
      </c>
      <c r="H302" s="54"/>
      <c r="I302" s="54"/>
      <c r="J302" s="54"/>
      <c r="K302" s="54">
        <v>9123</v>
      </c>
      <c r="L302" s="60">
        <v>6026</v>
      </c>
      <c r="M302" s="57">
        <f>SUM(N302:S302)</f>
        <v>664</v>
      </c>
      <c r="N302" s="66"/>
      <c r="O302" s="66"/>
      <c r="P302" s="66"/>
      <c r="Q302" s="66"/>
      <c r="R302" s="66"/>
      <c r="S302" s="67">
        <v>664</v>
      </c>
      <c r="T302" s="37"/>
      <c r="V302" s="6">
        <f t="shared" si="87"/>
        <v>0</v>
      </c>
    </row>
    <row r="303" spans="1:22">
      <c r="A303" s="46" t="s">
        <v>82</v>
      </c>
      <c r="B303" s="47" t="s">
        <v>83</v>
      </c>
      <c r="C303" s="29"/>
      <c r="D303" s="29"/>
      <c r="E303" s="29"/>
      <c r="F303" s="58"/>
      <c r="G303" s="58">
        <f t="shared" ref="G303:T303" si="98">SUM(G304:G306)</f>
        <v>212482</v>
      </c>
      <c r="H303" s="58">
        <f t="shared" si="98"/>
        <v>0</v>
      </c>
      <c r="I303" s="58">
        <f t="shared" si="98"/>
        <v>0</v>
      </c>
      <c r="J303" s="58">
        <f t="shared" si="98"/>
        <v>0</v>
      </c>
      <c r="K303" s="58">
        <f t="shared" si="98"/>
        <v>212482</v>
      </c>
      <c r="L303" s="58">
        <f t="shared" si="98"/>
        <v>31100</v>
      </c>
      <c r="M303" s="48">
        <f t="shared" si="98"/>
        <v>84138</v>
      </c>
      <c r="N303" s="49">
        <f t="shared" si="98"/>
        <v>0</v>
      </c>
      <c r="O303" s="49">
        <f t="shared" si="98"/>
        <v>0</v>
      </c>
      <c r="P303" s="49">
        <f t="shared" si="98"/>
        <v>0</v>
      </c>
      <c r="Q303" s="49"/>
      <c r="R303" s="49">
        <f t="shared" si="98"/>
        <v>0</v>
      </c>
      <c r="S303" s="48">
        <f t="shared" si="98"/>
        <v>84138</v>
      </c>
      <c r="T303" s="50">
        <f t="shared" si="98"/>
        <v>0</v>
      </c>
      <c r="V303" s="6">
        <f t="shared" si="87"/>
        <v>0</v>
      </c>
    </row>
    <row r="304" spans="1:22" ht="60">
      <c r="A304" s="53">
        <v>1</v>
      </c>
      <c r="B304" s="59" t="s">
        <v>648</v>
      </c>
      <c r="C304" s="53" t="s">
        <v>58</v>
      </c>
      <c r="D304" s="53" t="s">
        <v>31</v>
      </c>
      <c r="E304" s="53" t="s">
        <v>59</v>
      </c>
      <c r="F304" s="53" t="s">
        <v>649</v>
      </c>
      <c r="G304" s="54">
        <f>SUM(H304:K304)</f>
        <v>36324</v>
      </c>
      <c r="H304" s="54"/>
      <c r="I304" s="54"/>
      <c r="J304" s="54"/>
      <c r="K304" s="54">
        <v>36324</v>
      </c>
      <c r="L304" s="60">
        <v>200</v>
      </c>
      <c r="M304" s="57">
        <f>SUM(N304:S304)</f>
        <v>641</v>
      </c>
      <c r="N304" s="66"/>
      <c r="O304" s="66"/>
      <c r="P304" s="66"/>
      <c r="Q304" s="66"/>
      <c r="R304" s="66"/>
      <c r="S304" s="67">
        <f>35641-35000</f>
        <v>641</v>
      </c>
      <c r="T304" s="37"/>
      <c r="V304" s="6">
        <f t="shared" si="87"/>
        <v>0</v>
      </c>
    </row>
    <row r="305" spans="1:22" ht="30">
      <c r="A305" s="53">
        <v>2</v>
      </c>
      <c r="B305" s="59" t="s">
        <v>650</v>
      </c>
      <c r="C305" s="53" t="s">
        <v>97</v>
      </c>
      <c r="D305" s="53" t="s">
        <v>26</v>
      </c>
      <c r="E305" s="53" t="s">
        <v>59</v>
      </c>
      <c r="F305" s="53" t="s">
        <v>651</v>
      </c>
      <c r="G305" s="54">
        <f>SUM(H305:K305)</f>
        <v>94192</v>
      </c>
      <c r="H305" s="60"/>
      <c r="I305" s="60"/>
      <c r="J305" s="60"/>
      <c r="K305" s="60">
        <v>94192</v>
      </c>
      <c r="L305" s="60">
        <v>30100</v>
      </c>
      <c r="M305" s="57">
        <f>SUM(N305:S305)</f>
        <v>15497</v>
      </c>
      <c r="N305" s="66"/>
      <c r="O305" s="66"/>
      <c r="P305" s="66"/>
      <c r="Q305" s="66"/>
      <c r="R305" s="66"/>
      <c r="S305" s="67">
        <f>60697-45200</f>
        <v>15497</v>
      </c>
      <c r="T305" s="37"/>
      <c r="V305" s="6">
        <f t="shared" si="87"/>
        <v>0</v>
      </c>
    </row>
    <row r="306" spans="1:22" ht="30">
      <c r="A306" s="53">
        <v>3</v>
      </c>
      <c r="B306" s="92" t="s">
        <v>652</v>
      </c>
      <c r="C306" s="53" t="s">
        <v>67</v>
      </c>
      <c r="D306" s="12" t="s">
        <v>26</v>
      </c>
      <c r="E306" s="53" t="s">
        <v>245</v>
      </c>
      <c r="F306" s="53" t="s">
        <v>653</v>
      </c>
      <c r="G306" s="54">
        <v>81966</v>
      </c>
      <c r="H306" s="54"/>
      <c r="I306" s="54"/>
      <c r="J306" s="54"/>
      <c r="K306" s="54">
        <v>81966</v>
      </c>
      <c r="L306" s="56">
        <v>800</v>
      </c>
      <c r="M306" s="57">
        <f>SUM(N306:S306)</f>
        <v>68000</v>
      </c>
      <c r="N306" s="55"/>
      <c r="O306" s="55"/>
      <c r="P306" s="55"/>
      <c r="Q306" s="55"/>
      <c r="R306" s="55"/>
      <c r="S306" s="57">
        <f>81000-13000</f>
        <v>68000</v>
      </c>
      <c r="T306" s="37"/>
      <c r="V306" s="6">
        <f t="shared" si="87"/>
        <v>0</v>
      </c>
    </row>
    <row r="307" spans="1:22">
      <c r="A307" s="46" t="s">
        <v>102</v>
      </c>
      <c r="B307" s="47" t="s">
        <v>103</v>
      </c>
      <c r="C307" s="29"/>
      <c r="D307" s="29"/>
      <c r="E307" s="29"/>
      <c r="F307" s="28"/>
      <c r="G307" s="28">
        <f t="shared" ref="G307:T307" si="99">SUM(G308:G309)</f>
        <v>60703</v>
      </c>
      <c r="H307" s="28">
        <f t="shared" si="99"/>
        <v>0</v>
      </c>
      <c r="I307" s="28">
        <f t="shared" si="99"/>
        <v>20783</v>
      </c>
      <c r="J307" s="28">
        <f t="shared" si="99"/>
        <v>20783</v>
      </c>
      <c r="K307" s="28">
        <f t="shared" si="99"/>
        <v>19137</v>
      </c>
      <c r="L307" s="28">
        <f t="shared" si="99"/>
        <v>0</v>
      </c>
      <c r="M307" s="28">
        <f t="shared" si="99"/>
        <v>61038</v>
      </c>
      <c r="N307" s="36">
        <f t="shared" si="99"/>
        <v>0</v>
      </c>
      <c r="O307" s="36">
        <f t="shared" si="99"/>
        <v>20783</v>
      </c>
      <c r="P307" s="36">
        <f t="shared" si="99"/>
        <v>20783</v>
      </c>
      <c r="Q307" s="36">
        <f t="shared" si="99"/>
        <v>0</v>
      </c>
      <c r="R307" s="36">
        <f t="shared" si="99"/>
        <v>0</v>
      </c>
      <c r="S307" s="28">
        <f t="shared" si="99"/>
        <v>19472</v>
      </c>
      <c r="T307" s="70">
        <f t="shared" si="99"/>
        <v>0</v>
      </c>
      <c r="V307" s="6">
        <f t="shared" si="87"/>
        <v>0</v>
      </c>
    </row>
    <row r="308" spans="1:22" ht="60">
      <c r="A308" s="53">
        <v>1</v>
      </c>
      <c r="B308" s="59" t="s">
        <v>654</v>
      </c>
      <c r="C308" s="53" t="s">
        <v>655</v>
      </c>
      <c r="D308" s="53" t="s">
        <v>26</v>
      </c>
      <c r="E308" s="53" t="s">
        <v>59</v>
      </c>
      <c r="F308" s="53" t="s">
        <v>656</v>
      </c>
      <c r="G308" s="54">
        <f>SUM(H308:K308)</f>
        <v>51710</v>
      </c>
      <c r="H308" s="54"/>
      <c r="I308" s="54">
        <v>20783</v>
      </c>
      <c r="J308" s="54">
        <v>20783</v>
      </c>
      <c r="K308" s="54">
        <v>10144</v>
      </c>
      <c r="L308" s="54"/>
      <c r="M308" s="57">
        <f>SUM(N308:S308)</f>
        <v>52265</v>
      </c>
      <c r="N308" s="61"/>
      <c r="O308" s="61">
        <v>20783</v>
      </c>
      <c r="P308" s="61">
        <f>11003+9780</f>
        <v>20783</v>
      </c>
      <c r="Q308" s="61"/>
      <c r="R308" s="61"/>
      <c r="S308" s="67">
        <f>10705-6</f>
        <v>10699</v>
      </c>
      <c r="T308" s="37"/>
      <c r="V308" s="6">
        <f t="shared" si="87"/>
        <v>0</v>
      </c>
    </row>
    <row r="309" spans="1:22" ht="86.25" customHeight="1">
      <c r="A309" s="53">
        <v>2</v>
      </c>
      <c r="B309" s="59" t="s">
        <v>657</v>
      </c>
      <c r="C309" s="53" t="s">
        <v>136</v>
      </c>
      <c r="D309" s="53" t="s">
        <v>31</v>
      </c>
      <c r="E309" s="53" t="s">
        <v>283</v>
      </c>
      <c r="F309" s="73" t="s">
        <v>658</v>
      </c>
      <c r="G309" s="54">
        <f>SUM(H309:K309)</f>
        <v>8993</v>
      </c>
      <c r="H309" s="54"/>
      <c r="I309" s="54"/>
      <c r="J309" s="54"/>
      <c r="K309" s="54">
        <v>8993</v>
      </c>
      <c r="L309" s="54"/>
      <c r="M309" s="57">
        <f>SUM(N309:S309)</f>
        <v>8773</v>
      </c>
      <c r="N309" s="61"/>
      <c r="O309" s="61"/>
      <c r="P309" s="61"/>
      <c r="Q309" s="61"/>
      <c r="R309" s="61"/>
      <c r="S309" s="67">
        <f>8993-220</f>
        <v>8773</v>
      </c>
      <c r="T309" s="37"/>
      <c r="V309" s="6">
        <f t="shared" si="87"/>
        <v>0</v>
      </c>
    </row>
    <row r="310" spans="1:22">
      <c r="A310" s="199" t="s">
        <v>659</v>
      </c>
      <c r="B310" s="47" t="s">
        <v>660</v>
      </c>
      <c r="C310" s="29"/>
      <c r="D310" s="29"/>
      <c r="E310" s="29"/>
      <c r="F310" s="58">
        <f t="shared" ref="F310:T310" si="100">F311+F317</f>
        <v>0</v>
      </c>
      <c r="G310" s="58">
        <f t="shared" si="100"/>
        <v>223072</v>
      </c>
      <c r="H310" s="58">
        <f t="shared" si="100"/>
        <v>0</v>
      </c>
      <c r="I310" s="58">
        <f t="shared" si="100"/>
        <v>0</v>
      </c>
      <c r="J310" s="58">
        <f t="shared" si="100"/>
        <v>0</v>
      </c>
      <c r="K310" s="58">
        <f t="shared" si="100"/>
        <v>223072</v>
      </c>
      <c r="L310" s="58">
        <f t="shared" si="100"/>
        <v>156503</v>
      </c>
      <c r="M310" s="48">
        <f t="shared" si="100"/>
        <v>139660</v>
      </c>
      <c r="N310" s="49">
        <f t="shared" si="100"/>
        <v>0</v>
      </c>
      <c r="O310" s="49">
        <f t="shared" si="100"/>
        <v>0</v>
      </c>
      <c r="P310" s="49">
        <f t="shared" si="100"/>
        <v>0</v>
      </c>
      <c r="Q310" s="49">
        <f t="shared" si="100"/>
        <v>0</v>
      </c>
      <c r="R310" s="49">
        <f t="shared" si="100"/>
        <v>0</v>
      </c>
      <c r="S310" s="48">
        <f t="shared" si="100"/>
        <v>139660</v>
      </c>
      <c r="T310" s="50">
        <f t="shared" si="100"/>
        <v>0</v>
      </c>
      <c r="V310" s="6">
        <f t="shared" si="87"/>
        <v>0</v>
      </c>
    </row>
    <row r="311" spans="1:22">
      <c r="A311" s="199" t="s">
        <v>37</v>
      </c>
      <c r="B311" s="47" t="s">
        <v>38</v>
      </c>
      <c r="C311" s="29"/>
      <c r="D311" s="29"/>
      <c r="E311" s="29"/>
      <c r="F311" s="73"/>
      <c r="G311" s="58">
        <f>SUM(G312:G316)</f>
        <v>3587</v>
      </c>
      <c r="H311" s="58">
        <f t="shared" ref="H311:T311" si="101">SUM(H312:H316)</f>
        <v>0</v>
      </c>
      <c r="I311" s="58">
        <f t="shared" si="101"/>
        <v>0</v>
      </c>
      <c r="J311" s="58">
        <f t="shared" si="101"/>
        <v>0</v>
      </c>
      <c r="K311" s="58">
        <f t="shared" si="101"/>
        <v>3587</v>
      </c>
      <c r="L311" s="58">
        <f t="shared" si="101"/>
        <v>226</v>
      </c>
      <c r="M311" s="48">
        <f t="shared" si="101"/>
        <v>1133</v>
      </c>
      <c r="N311" s="49">
        <f t="shared" si="101"/>
        <v>0</v>
      </c>
      <c r="O311" s="49">
        <f t="shared" si="101"/>
        <v>0</v>
      </c>
      <c r="P311" s="49">
        <f t="shared" si="101"/>
        <v>0</v>
      </c>
      <c r="Q311" s="49">
        <f t="shared" si="101"/>
        <v>0</v>
      </c>
      <c r="R311" s="49">
        <f t="shared" si="101"/>
        <v>0</v>
      </c>
      <c r="S311" s="48">
        <f t="shared" si="101"/>
        <v>1133</v>
      </c>
      <c r="T311" s="50">
        <f t="shared" si="101"/>
        <v>0</v>
      </c>
      <c r="V311" s="6">
        <f t="shared" si="87"/>
        <v>0</v>
      </c>
    </row>
    <row r="312" spans="1:22" ht="30">
      <c r="A312" s="30">
        <v>1</v>
      </c>
      <c r="B312" s="59" t="s">
        <v>661</v>
      </c>
      <c r="C312" s="53" t="s">
        <v>123</v>
      </c>
      <c r="D312" s="29"/>
      <c r="E312" s="32" t="s">
        <v>369</v>
      </c>
      <c r="F312" s="38" t="s">
        <v>662</v>
      </c>
      <c r="G312" s="64">
        <f>SUM(H312:K312)</f>
        <v>2604</v>
      </c>
      <c r="H312" s="58"/>
      <c r="I312" s="58"/>
      <c r="J312" s="58"/>
      <c r="K312" s="64">
        <v>2604</v>
      </c>
      <c r="L312" s="64">
        <v>226</v>
      </c>
      <c r="M312" s="19">
        <f>SUM(N312:S312)</f>
        <v>226</v>
      </c>
      <c r="N312" s="49"/>
      <c r="O312" s="49"/>
      <c r="P312" s="49"/>
      <c r="Q312" s="49"/>
      <c r="R312" s="49"/>
      <c r="S312" s="19">
        <v>226</v>
      </c>
      <c r="T312" s="50"/>
      <c r="V312" s="6">
        <f t="shared" si="87"/>
        <v>0</v>
      </c>
    </row>
    <row r="313" spans="1:22" ht="60">
      <c r="A313" s="30">
        <v>2</v>
      </c>
      <c r="B313" s="165" t="s">
        <v>663</v>
      </c>
      <c r="C313" s="53" t="s">
        <v>40</v>
      </c>
      <c r="D313" s="29"/>
      <c r="E313" s="38" t="s">
        <v>41</v>
      </c>
      <c r="F313" s="166" t="s">
        <v>664</v>
      </c>
      <c r="G313" s="64">
        <f t="shared" ref="G313:G316" si="102">SUM(H313:K313)</f>
        <v>244</v>
      </c>
      <c r="H313" s="58"/>
      <c r="I313" s="58"/>
      <c r="J313" s="58"/>
      <c r="K313" s="64">
        <v>244</v>
      </c>
      <c r="L313" s="58"/>
      <c r="M313" s="19">
        <f t="shared" ref="M313:M316" si="103">SUM(N313:S313)</f>
        <v>220</v>
      </c>
      <c r="N313" s="49"/>
      <c r="O313" s="49"/>
      <c r="P313" s="49"/>
      <c r="Q313" s="49"/>
      <c r="R313" s="49"/>
      <c r="S313" s="19">
        <v>220</v>
      </c>
      <c r="T313" s="50"/>
      <c r="V313" s="6">
        <f t="shared" si="87"/>
        <v>0</v>
      </c>
    </row>
    <row r="314" spans="1:22" ht="30">
      <c r="A314" s="30">
        <v>3</v>
      </c>
      <c r="B314" s="165" t="s">
        <v>665</v>
      </c>
      <c r="C314" s="53" t="s">
        <v>40</v>
      </c>
      <c r="D314" s="29"/>
      <c r="E314" s="38" t="s">
        <v>41</v>
      </c>
      <c r="F314" s="166" t="s">
        <v>666</v>
      </c>
      <c r="G314" s="64">
        <f t="shared" si="102"/>
        <v>263</v>
      </c>
      <c r="H314" s="58"/>
      <c r="I314" s="58"/>
      <c r="J314" s="58"/>
      <c r="K314" s="64">
        <v>263</v>
      </c>
      <c r="L314" s="58"/>
      <c r="M314" s="19">
        <f t="shared" si="103"/>
        <v>230</v>
      </c>
      <c r="N314" s="49"/>
      <c r="O314" s="49"/>
      <c r="P314" s="49"/>
      <c r="Q314" s="49"/>
      <c r="R314" s="49"/>
      <c r="S314" s="19">
        <v>230</v>
      </c>
      <c r="T314" s="50"/>
      <c r="V314" s="6">
        <f t="shared" si="87"/>
        <v>0</v>
      </c>
    </row>
    <row r="315" spans="1:22" ht="30">
      <c r="A315" s="30">
        <v>4</v>
      </c>
      <c r="B315" s="165" t="s">
        <v>667</v>
      </c>
      <c r="C315" s="53" t="s">
        <v>40</v>
      </c>
      <c r="D315" s="29"/>
      <c r="E315" s="38" t="s">
        <v>41</v>
      </c>
      <c r="F315" s="166" t="s">
        <v>668</v>
      </c>
      <c r="G315" s="64">
        <f t="shared" si="102"/>
        <v>139</v>
      </c>
      <c r="H315" s="58"/>
      <c r="I315" s="58"/>
      <c r="J315" s="58"/>
      <c r="K315" s="64">
        <v>139</v>
      </c>
      <c r="L315" s="58"/>
      <c r="M315" s="19">
        <f t="shared" si="103"/>
        <v>120</v>
      </c>
      <c r="N315" s="49"/>
      <c r="O315" s="49"/>
      <c r="P315" s="49"/>
      <c r="Q315" s="49"/>
      <c r="R315" s="49"/>
      <c r="S315" s="19">
        <v>120</v>
      </c>
      <c r="T315" s="50"/>
      <c r="V315" s="6">
        <f t="shared" si="87"/>
        <v>0</v>
      </c>
    </row>
    <row r="316" spans="1:22" ht="60">
      <c r="A316" s="30">
        <v>5</v>
      </c>
      <c r="B316" s="165" t="s">
        <v>669</v>
      </c>
      <c r="C316" s="53" t="s">
        <v>64</v>
      </c>
      <c r="D316" s="29"/>
      <c r="E316" s="38" t="s">
        <v>55</v>
      </c>
      <c r="F316" s="166" t="s">
        <v>670</v>
      </c>
      <c r="G316" s="64">
        <f t="shared" si="102"/>
        <v>337</v>
      </c>
      <c r="H316" s="58"/>
      <c r="I316" s="58"/>
      <c r="J316" s="58"/>
      <c r="K316" s="64">
        <v>337</v>
      </c>
      <c r="L316" s="58"/>
      <c r="M316" s="19">
        <f t="shared" si="103"/>
        <v>337</v>
      </c>
      <c r="N316" s="49"/>
      <c r="O316" s="49"/>
      <c r="P316" s="49"/>
      <c r="Q316" s="49"/>
      <c r="R316" s="49"/>
      <c r="S316" s="19">
        <v>337</v>
      </c>
      <c r="T316" s="50"/>
      <c r="V316" s="6">
        <f t="shared" si="87"/>
        <v>0</v>
      </c>
    </row>
    <row r="317" spans="1:22">
      <c r="A317" s="199" t="s">
        <v>69</v>
      </c>
      <c r="B317" s="47" t="s">
        <v>70</v>
      </c>
      <c r="C317" s="29"/>
      <c r="D317" s="29"/>
      <c r="E317" s="29"/>
      <c r="F317" s="48">
        <f t="shared" ref="F317:T317" si="104">F318+F320+F322</f>
        <v>0</v>
      </c>
      <c r="G317" s="48">
        <f t="shared" si="104"/>
        <v>219485</v>
      </c>
      <c r="H317" s="48">
        <f t="shared" si="104"/>
        <v>0</v>
      </c>
      <c r="I317" s="48">
        <f t="shared" si="104"/>
        <v>0</v>
      </c>
      <c r="J317" s="48">
        <f t="shared" si="104"/>
        <v>0</v>
      </c>
      <c r="K317" s="48">
        <f t="shared" si="104"/>
        <v>219485</v>
      </c>
      <c r="L317" s="48">
        <f t="shared" si="104"/>
        <v>156277</v>
      </c>
      <c r="M317" s="48">
        <f t="shared" si="104"/>
        <v>138527</v>
      </c>
      <c r="N317" s="49">
        <f t="shared" si="104"/>
        <v>0</v>
      </c>
      <c r="O317" s="49">
        <f t="shared" si="104"/>
        <v>0</v>
      </c>
      <c r="P317" s="49">
        <f t="shared" si="104"/>
        <v>0</v>
      </c>
      <c r="Q317" s="49">
        <f t="shared" si="104"/>
        <v>0</v>
      </c>
      <c r="R317" s="49">
        <f t="shared" si="104"/>
        <v>0</v>
      </c>
      <c r="S317" s="48">
        <f t="shared" si="104"/>
        <v>138527</v>
      </c>
      <c r="T317" s="50">
        <f t="shared" si="104"/>
        <v>0</v>
      </c>
      <c r="V317" s="6">
        <f t="shared" si="87"/>
        <v>0</v>
      </c>
    </row>
    <row r="318" spans="1:22" ht="28.5">
      <c r="A318" s="29" t="s">
        <v>71</v>
      </c>
      <c r="B318" s="47" t="s">
        <v>72</v>
      </c>
      <c r="C318" s="29"/>
      <c r="D318" s="29"/>
      <c r="E318" s="29"/>
      <c r="F318" s="29"/>
      <c r="G318" s="58">
        <f t="shared" ref="G318:Q318" si="105">G319</f>
        <v>141607</v>
      </c>
      <c r="H318" s="58">
        <f t="shared" si="105"/>
        <v>0</v>
      </c>
      <c r="I318" s="58">
        <f t="shared" si="105"/>
        <v>0</v>
      </c>
      <c r="J318" s="58">
        <f t="shared" si="105"/>
        <v>0</v>
      </c>
      <c r="K318" s="58">
        <f t="shared" si="105"/>
        <v>141607</v>
      </c>
      <c r="L318" s="58">
        <f t="shared" si="105"/>
        <v>125390</v>
      </c>
      <c r="M318" s="48">
        <f t="shared" si="105"/>
        <v>321</v>
      </c>
      <c r="N318" s="49">
        <f t="shared" si="105"/>
        <v>0</v>
      </c>
      <c r="O318" s="49">
        <f t="shared" si="105"/>
        <v>0</v>
      </c>
      <c r="P318" s="49">
        <f t="shared" si="105"/>
        <v>0</v>
      </c>
      <c r="Q318" s="49">
        <f t="shared" si="105"/>
        <v>0</v>
      </c>
      <c r="R318" s="49">
        <f>R319</f>
        <v>0</v>
      </c>
      <c r="S318" s="48">
        <f>S319</f>
        <v>321</v>
      </c>
      <c r="T318" s="50">
        <f t="shared" ref="T318" si="106">T319</f>
        <v>0</v>
      </c>
      <c r="V318" s="6">
        <f t="shared" si="87"/>
        <v>0</v>
      </c>
    </row>
    <row r="319" spans="1:22" ht="30">
      <c r="A319" s="12">
        <v>1</v>
      </c>
      <c r="B319" s="92" t="s">
        <v>671</v>
      </c>
      <c r="C319" s="53" t="s">
        <v>672</v>
      </c>
      <c r="D319" s="53" t="s">
        <v>26</v>
      </c>
      <c r="E319" s="53" t="s">
        <v>331</v>
      </c>
      <c r="F319" s="53" t="s">
        <v>673</v>
      </c>
      <c r="G319" s="54">
        <f>SUM(H319:K319)</f>
        <v>141607</v>
      </c>
      <c r="H319" s="55"/>
      <c r="I319" s="55"/>
      <c r="J319" s="56"/>
      <c r="K319" s="56">
        <v>141607</v>
      </c>
      <c r="L319" s="56">
        <v>125390</v>
      </c>
      <c r="M319" s="57">
        <f>SUM(N319:S319)</f>
        <v>321</v>
      </c>
      <c r="N319" s="55">
        <v>0</v>
      </c>
      <c r="O319" s="55">
        <v>0</v>
      </c>
      <c r="P319" s="55">
        <v>0</v>
      </c>
      <c r="Q319" s="55"/>
      <c r="R319" s="90"/>
      <c r="S319" s="91">
        <f>790-469</f>
        <v>321</v>
      </c>
      <c r="T319" s="37"/>
      <c r="V319" s="6">
        <f t="shared" si="87"/>
        <v>0</v>
      </c>
    </row>
    <row r="320" spans="1:22">
      <c r="A320" s="29" t="s">
        <v>82</v>
      </c>
      <c r="B320" s="47" t="s">
        <v>83</v>
      </c>
      <c r="C320" s="29"/>
      <c r="D320" s="29"/>
      <c r="E320" s="29"/>
      <c r="F320" s="167">
        <f t="shared" ref="F320:T320" si="107">SUM(F321:F321)</f>
        <v>0</v>
      </c>
      <c r="G320" s="167">
        <f t="shared" si="107"/>
        <v>42503</v>
      </c>
      <c r="H320" s="167">
        <f t="shared" si="107"/>
        <v>0</v>
      </c>
      <c r="I320" s="167">
        <f t="shared" si="107"/>
        <v>0</v>
      </c>
      <c r="J320" s="167">
        <f t="shared" si="107"/>
        <v>0</v>
      </c>
      <c r="K320" s="167">
        <f t="shared" si="107"/>
        <v>42503</v>
      </c>
      <c r="L320" s="167">
        <f t="shared" si="107"/>
        <v>30887</v>
      </c>
      <c r="M320" s="168">
        <f t="shared" si="107"/>
        <v>11265</v>
      </c>
      <c r="N320" s="169">
        <f t="shared" si="107"/>
        <v>0</v>
      </c>
      <c r="O320" s="169">
        <f t="shared" si="107"/>
        <v>0</v>
      </c>
      <c r="P320" s="169">
        <f t="shared" si="107"/>
        <v>0</v>
      </c>
      <c r="Q320" s="169">
        <f t="shared" si="107"/>
        <v>0</v>
      </c>
      <c r="R320" s="169">
        <f t="shared" si="107"/>
        <v>0</v>
      </c>
      <c r="S320" s="168">
        <f t="shared" si="107"/>
        <v>11265</v>
      </c>
      <c r="T320" s="170">
        <f t="shared" si="107"/>
        <v>0</v>
      </c>
      <c r="V320" s="6">
        <f t="shared" si="87"/>
        <v>0</v>
      </c>
    </row>
    <row r="321" spans="1:22" ht="45">
      <c r="A321" s="12">
        <v>1</v>
      </c>
      <c r="B321" s="92" t="s">
        <v>674</v>
      </c>
      <c r="C321" s="53" t="s">
        <v>40</v>
      </c>
      <c r="D321" s="53" t="s">
        <v>31</v>
      </c>
      <c r="E321" s="53" t="s">
        <v>619</v>
      </c>
      <c r="F321" s="53" t="s">
        <v>675</v>
      </c>
      <c r="G321" s="54">
        <f>SUM(H321:K321)</f>
        <v>42503</v>
      </c>
      <c r="H321" s="55"/>
      <c r="I321" s="55"/>
      <c r="J321" s="56"/>
      <c r="K321" s="56">
        <v>42503</v>
      </c>
      <c r="L321" s="56">
        <v>30887</v>
      </c>
      <c r="M321" s="57">
        <f>SUM(N321:S321)</f>
        <v>11265</v>
      </c>
      <c r="N321" s="55"/>
      <c r="O321" s="55"/>
      <c r="P321" s="55"/>
      <c r="Q321" s="55"/>
      <c r="R321" s="90"/>
      <c r="S321" s="91">
        <f>11616-351</f>
        <v>11265</v>
      </c>
      <c r="T321" s="37"/>
      <c r="V321" s="6">
        <f t="shared" si="87"/>
        <v>0</v>
      </c>
    </row>
    <row r="322" spans="1:22" s="2" customFormat="1">
      <c r="A322" s="46" t="s">
        <v>102</v>
      </c>
      <c r="B322" s="47" t="s">
        <v>103</v>
      </c>
      <c r="C322" s="29"/>
      <c r="D322" s="29"/>
      <c r="E322" s="29"/>
      <c r="F322" s="171">
        <f t="shared" ref="F322:T322" si="108">SUM(F323:F326)</f>
        <v>0</v>
      </c>
      <c r="G322" s="171">
        <f t="shared" si="108"/>
        <v>35375</v>
      </c>
      <c r="H322" s="171">
        <f t="shared" si="108"/>
        <v>0</v>
      </c>
      <c r="I322" s="171">
        <f t="shared" si="108"/>
        <v>0</v>
      </c>
      <c r="J322" s="171">
        <f t="shared" si="108"/>
        <v>0</v>
      </c>
      <c r="K322" s="171">
        <f t="shared" si="108"/>
        <v>35375</v>
      </c>
      <c r="L322" s="171">
        <f t="shared" si="108"/>
        <v>0</v>
      </c>
      <c r="M322" s="171">
        <f t="shared" si="108"/>
        <v>126941</v>
      </c>
      <c r="N322" s="172">
        <f t="shared" si="108"/>
        <v>0</v>
      </c>
      <c r="O322" s="172">
        <f t="shared" si="108"/>
        <v>0</v>
      </c>
      <c r="P322" s="172">
        <f t="shared" si="108"/>
        <v>0</v>
      </c>
      <c r="Q322" s="172">
        <f t="shared" si="108"/>
        <v>0</v>
      </c>
      <c r="R322" s="172">
        <f t="shared" si="108"/>
        <v>0</v>
      </c>
      <c r="S322" s="171">
        <f t="shared" si="108"/>
        <v>126941</v>
      </c>
      <c r="T322" s="173">
        <f t="shared" si="108"/>
        <v>0</v>
      </c>
      <c r="V322" s="6">
        <f t="shared" si="87"/>
        <v>0</v>
      </c>
    </row>
    <row r="323" spans="1:22" ht="30">
      <c r="A323" s="53">
        <v>1</v>
      </c>
      <c r="B323" s="59" t="s">
        <v>665</v>
      </c>
      <c r="C323" s="11" t="s">
        <v>40</v>
      </c>
      <c r="D323" s="147" t="s">
        <v>31</v>
      </c>
      <c r="E323" s="147" t="s">
        <v>283</v>
      </c>
      <c r="F323" s="41" t="s">
        <v>676</v>
      </c>
      <c r="G323" s="54">
        <f t="shared" ref="G323:G324" si="109">SUM(H323:K323)</f>
        <v>29976</v>
      </c>
      <c r="H323" s="55"/>
      <c r="I323" s="55"/>
      <c r="J323" s="56"/>
      <c r="K323" s="56">
        <v>29976</v>
      </c>
      <c r="L323" s="56"/>
      <c r="M323" s="57">
        <f t="shared" ref="M323" si="110">SUM(N323:S323)</f>
        <v>26060</v>
      </c>
      <c r="N323" s="55"/>
      <c r="O323" s="55"/>
      <c r="P323" s="55"/>
      <c r="Q323" s="55"/>
      <c r="R323" s="90"/>
      <c r="S323" s="174">
        <f>29746-3686</f>
        <v>26060</v>
      </c>
      <c r="T323" s="37"/>
      <c r="V323" s="6">
        <f t="shared" si="87"/>
        <v>0</v>
      </c>
    </row>
    <row r="324" spans="1:22" ht="45">
      <c r="A324" s="53">
        <v>2</v>
      </c>
      <c r="B324" s="52" t="s">
        <v>677</v>
      </c>
      <c r="C324" s="11" t="s">
        <v>40</v>
      </c>
      <c r="D324" s="147" t="s">
        <v>31</v>
      </c>
      <c r="E324" s="147" t="s">
        <v>283</v>
      </c>
      <c r="F324" s="53" t="s">
        <v>678</v>
      </c>
      <c r="G324" s="54">
        <f t="shared" si="109"/>
        <v>5399</v>
      </c>
      <c r="H324" s="55"/>
      <c r="I324" s="55"/>
      <c r="J324" s="56"/>
      <c r="K324" s="56">
        <v>5399</v>
      </c>
      <c r="L324" s="56"/>
      <c r="M324" s="57">
        <f>SUM(N324:S324)</f>
        <v>5279</v>
      </c>
      <c r="N324" s="55"/>
      <c r="O324" s="55"/>
      <c r="P324" s="55"/>
      <c r="Q324" s="55"/>
      <c r="R324" s="90"/>
      <c r="S324" s="174">
        <f>5717-120-318</f>
        <v>5279</v>
      </c>
      <c r="T324" s="37"/>
      <c r="V324" s="6">
        <f t="shared" si="87"/>
        <v>0</v>
      </c>
    </row>
    <row r="325" spans="1:22" ht="60">
      <c r="A325" s="53">
        <v>3</v>
      </c>
      <c r="B325" s="59" t="s">
        <v>679</v>
      </c>
      <c r="C325" s="11" t="s">
        <v>40</v>
      </c>
      <c r="D325" s="147" t="s">
        <v>26</v>
      </c>
      <c r="E325" s="147" t="s">
        <v>115</v>
      </c>
      <c r="F325" s="53"/>
      <c r="G325" s="54"/>
      <c r="H325" s="55"/>
      <c r="I325" s="55"/>
      <c r="J325" s="56"/>
      <c r="K325" s="56"/>
      <c r="L325" s="56"/>
      <c r="M325" s="57">
        <f t="shared" ref="M325:M326" si="111">SUM(N325:S325)</f>
        <v>59776</v>
      </c>
      <c r="N325" s="55"/>
      <c r="O325" s="55"/>
      <c r="P325" s="55"/>
      <c r="Q325" s="55"/>
      <c r="R325" s="90"/>
      <c r="S325" s="57">
        <v>59776</v>
      </c>
      <c r="T325" s="37"/>
      <c r="V325" s="6">
        <f t="shared" si="87"/>
        <v>0</v>
      </c>
    </row>
    <row r="326" spans="1:22" ht="45">
      <c r="A326" s="53">
        <v>4</v>
      </c>
      <c r="B326" s="59" t="s">
        <v>680</v>
      </c>
      <c r="C326" s="53" t="s">
        <v>40</v>
      </c>
      <c r="D326" s="32" t="s">
        <v>31</v>
      </c>
      <c r="E326" s="32" t="s">
        <v>283</v>
      </c>
      <c r="F326" s="53"/>
      <c r="G326" s="54"/>
      <c r="H326" s="55"/>
      <c r="I326" s="55"/>
      <c r="J326" s="56"/>
      <c r="K326" s="56"/>
      <c r="L326" s="56"/>
      <c r="M326" s="57">
        <f t="shared" si="111"/>
        <v>35826</v>
      </c>
      <c r="N326" s="55"/>
      <c r="O326" s="55"/>
      <c r="P326" s="55"/>
      <c r="Q326" s="55"/>
      <c r="R326" s="90"/>
      <c r="S326" s="174">
        <v>35826</v>
      </c>
      <c r="T326" s="37"/>
      <c r="V326" s="6">
        <f t="shared" si="87"/>
        <v>0</v>
      </c>
    </row>
    <row r="327" spans="1:22">
      <c r="A327" s="478" t="s">
        <v>681</v>
      </c>
      <c r="B327" s="47" t="s">
        <v>682</v>
      </c>
      <c r="C327" s="29"/>
      <c r="D327" s="29"/>
      <c r="E327" s="29"/>
      <c r="F327" s="48">
        <f t="shared" ref="F327:T327" si="112">F328+F333</f>
        <v>0</v>
      </c>
      <c r="G327" s="48">
        <f t="shared" si="112"/>
        <v>99425</v>
      </c>
      <c r="H327" s="48">
        <f t="shared" si="112"/>
        <v>0</v>
      </c>
      <c r="I327" s="48">
        <f t="shared" si="112"/>
        <v>0</v>
      </c>
      <c r="J327" s="48">
        <f t="shared" si="112"/>
        <v>0</v>
      </c>
      <c r="K327" s="48">
        <f t="shared" si="112"/>
        <v>99425</v>
      </c>
      <c r="L327" s="48">
        <f t="shared" si="112"/>
        <v>51238</v>
      </c>
      <c r="M327" s="48">
        <f t="shared" si="112"/>
        <v>35875</v>
      </c>
      <c r="N327" s="49">
        <f t="shared" si="112"/>
        <v>0</v>
      </c>
      <c r="O327" s="49">
        <f t="shared" si="112"/>
        <v>0</v>
      </c>
      <c r="P327" s="49">
        <f t="shared" si="112"/>
        <v>0</v>
      </c>
      <c r="Q327" s="49">
        <f t="shared" si="112"/>
        <v>0</v>
      </c>
      <c r="R327" s="49">
        <f t="shared" si="112"/>
        <v>0</v>
      </c>
      <c r="S327" s="48">
        <f t="shared" si="112"/>
        <v>35875</v>
      </c>
      <c r="T327" s="50">
        <f t="shared" si="112"/>
        <v>0</v>
      </c>
      <c r="V327" s="6">
        <f t="shared" si="87"/>
        <v>0</v>
      </c>
    </row>
    <row r="328" spans="1:22" s="158" customFormat="1" ht="20.25" customHeight="1">
      <c r="A328" s="487" t="s">
        <v>37</v>
      </c>
      <c r="B328" s="309" t="s">
        <v>38</v>
      </c>
      <c r="C328" s="248"/>
      <c r="D328" s="248"/>
      <c r="E328" s="248"/>
      <c r="F328" s="492"/>
      <c r="G328" s="469">
        <f>SUM(G329:G332)</f>
        <v>1206</v>
      </c>
      <c r="H328" s="469">
        <f t="shared" ref="H328:T328" si="113">SUM(H329:H332)</f>
        <v>0</v>
      </c>
      <c r="I328" s="469">
        <f t="shared" si="113"/>
        <v>0</v>
      </c>
      <c r="J328" s="469">
        <f t="shared" si="113"/>
        <v>0</v>
      </c>
      <c r="K328" s="469">
        <f t="shared" si="113"/>
        <v>1206</v>
      </c>
      <c r="L328" s="469">
        <f t="shared" si="113"/>
        <v>0</v>
      </c>
      <c r="M328" s="469">
        <f t="shared" si="113"/>
        <v>908</v>
      </c>
      <c r="N328" s="470">
        <f t="shared" si="113"/>
        <v>0</v>
      </c>
      <c r="O328" s="470">
        <f t="shared" si="113"/>
        <v>0</v>
      </c>
      <c r="P328" s="470">
        <f t="shared" si="113"/>
        <v>0</v>
      </c>
      <c r="Q328" s="470">
        <f t="shared" si="113"/>
        <v>0</v>
      </c>
      <c r="R328" s="470">
        <f t="shared" si="113"/>
        <v>0</v>
      </c>
      <c r="S328" s="469">
        <f t="shared" si="113"/>
        <v>908</v>
      </c>
      <c r="T328" s="471">
        <f t="shared" si="113"/>
        <v>0</v>
      </c>
      <c r="V328" s="6">
        <f t="shared" si="87"/>
        <v>0</v>
      </c>
    </row>
    <row r="329" spans="1:22" s="26" customFormat="1" ht="30">
      <c r="A329" s="75">
        <v>1</v>
      </c>
      <c r="B329" s="16" t="s">
        <v>683</v>
      </c>
      <c r="C329" s="53" t="s">
        <v>40</v>
      </c>
      <c r="D329" s="15"/>
      <c r="E329" s="53" t="s">
        <v>41</v>
      </c>
      <c r="F329" s="176" t="s">
        <v>684</v>
      </c>
      <c r="G329" s="174">
        <f>SUM(H329:K329)</f>
        <v>406</v>
      </c>
      <c r="H329" s="174"/>
      <c r="I329" s="174"/>
      <c r="J329" s="174"/>
      <c r="K329" s="174">
        <v>406</v>
      </c>
      <c r="L329" s="64"/>
      <c r="M329" s="19">
        <f>SUM(N329:S329)</f>
        <v>200</v>
      </c>
      <c r="N329" s="145"/>
      <c r="O329" s="145"/>
      <c r="P329" s="145"/>
      <c r="Q329" s="145"/>
      <c r="R329" s="145"/>
      <c r="S329" s="19">
        <v>200</v>
      </c>
      <c r="T329" s="154"/>
      <c r="V329" s="6">
        <f t="shared" si="87"/>
        <v>0</v>
      </c>
    </row>
    <row r="330" spans="1:22" s="26" customFormat="1" ht="30">
      <c r="A330" s="75">
        <v>2</v>
      </c>
      <c r="B330" s="16" t="s">
        <v>685</v>
      </c>
      <c r="C330" s="53" t="s">
        <v>40</v>
      </c>
      <c r="D330" s="15"/>
      <c r="E330" s="53" t="s">
        <v>41</v>
      </c>
      <c r="F330" s="61" t="s">
        <v>686</v>
      </c>
      <c r="G330" s="174">
        <f t="shared" ref="G330:G332" si="114">SUM(H330:K330)</f>
        <v>239</v>
      </c>
      <c r="H330" s="174"/>
      <c r="I330" s="174"/>
      <c r="J330" s="174"/>
      <c r="K330" s="174">
        <v>239</v>
      </c>
      <c r="L330" s="64"/>
      <c r="M330" s="19">
        <f t="shared" ref="M330:M332" si="115">SUM(N330:S330)</f>
        <v>180</v>
      </c>
      <c r="N330" s="145"/>
      <c r="O330" s="145"/>
      <c r="P330" s="145"/>
      <c r="Q330" s="145"/>
      <c r="R330" s="145"/>
      <c r="S330" s="19">
        <v>180</v>
      </c>
      <c r="T330" s="154"/>
      <c r="V330" s="6">
        <f t="shared" si="87"/>
        <v>0</v>
      </c>
    </row>
    <row r="331" spans="1:22" s="26" customFormat="1" ht="30">
      <c r="A331" s="75">
        <v>3</v>
      </c>
      <c r="B331" s="16" t="s">
        <v>687</v>
      </c>
      <c r="C331" s="53" t="s">
        <v>136</v>
      </c>
      <c r="D331" s="15"/>
      <c r="E331" s="53" t="s">
        <v>41</v>
      </c>
      <c r="F331" s="176" t="s">
        <v>688</v>
      </c>
      <c r="G331" s="174">
        <f t="shared" si="114"/>
        <v>119</v>
      </c>
      <c r="H331" s="174"/>
      <c r="I331" s="174"/>
      <c r="J331" s="174"/>
      <c r="K331" s="174">
        <v>119</v>
      </c>
      <c r="L331" s="64"/>
      <c r="M331" s="19">
        <f t="shared" si="115"/>
        <v>108</v>
      </c>
      <c r="N331" s="145"/>
      <c r="O331" s="145"/>
      <c r="P331" s="145"/>
      <c r="Q331" s="145"/>
      <c r="R331" s="145"/>
      <c r="S331" s="19">
        <v>108</v>
      </c>
      <c r="T331" s="154"/>
      <c r="V331" s="6">
        <f t="shared" si="87"/>
        <v>0</v>
      </c>
    </row>
    <row r="332" spans="1:22" s="26" customFormat="1" ht="60">
      <c r="A332" s="75">
        <v>4</v>
      </c>
      <c r="B332" s="177" t="s">
        <v>689</v>
      </c>
      <c r="C332" s="40" t="s">
        <v>40</v>
      </c>
      <c r="D332" s="15"/>
      <c r="E332" s="53" t="s">
        <v>47</v>
      </c>
      <c r="F332" s="61" t="s">
        <v>690</v>
      </c>
      <c r="G332" s="174">
        <f t="shared" si="114"/>
        <v>442</v>
      </c>
      <c r="H332" s="174"/>
      <c r="I332" s="174"/>
      <c r="J332" s="174"/>
      <c r="K332" s="174">
        <v>442</v>
      </c>
      <c r="L332" s="64"/>
      <c r="M332" s="19">
        <f t="shared" si="115"/>
        <v>420</v>
      </c>
      <c r="N332" s="145"/>
      <c r="O332" s="145"/>
      <c r="P332" s="145"/>
      <c r="Q332" s="145"/>
      <c r="R332" s="145"/>
      <c r="S332" s="19">
        <v>420</v>
      </c>
      <c r="T332" s="154"/>
      <c r="V332" s="6">
        <f t="shared" si="87"/>
        <v>0</v>
      </c>
    </row>
    <row r="333" spans="1:22" s="158" customFormat="1" ht="20.25" customHeight="1">
      <c r="A333" s="487" t="s">
        <v>69</v>
      </c>
      <c r="B333" s="309" t="s">
        <v>70</v>
      </c>
      <c r="C333" s="248"/>
      <c r="D333" s="248"/>
      <c r="E333" s="248"/>
      <c r="F333" s="492">
        <f t="shared" ref="F333:T333" si="116">F334+F336+F341</f>
        <v>0</v>
      </c>
      <c r="G333" s="469">
        <f t="shared" si="116"/>
        <v>98219</v>
      </c>
      <c r="H333" s="469">
        <f t="shared" si="116"/>
        <v>0</v>
      </c>
      <c r="I333" s="469">
        <f t="shared" si="116"/>
        <v>0</v>
      </c>
      <c r="J333" s="469">
        <f t="shared" si="116"/>
        <v>0</v>
      </c>
      <c r="K333" s="469">
        <f t="shared" si="116"/>
        <v>98219</v>
      </c>
      <c r="L333" s="469">
        <f t="shared" si="116"/>
        <v>51238</v>
      </c>
      <c r="M333" s="469">
        <f t="shared" si="116"/>
        <v>34967</v>
      </c>
      <c r="N333" s="470">
        <f t="shared" si="116"/>
        <v>0</v>
      </c>
      <c r="O333" s="470">
        <f t="shared" si="116"/>
        <v>0</v>
      </c>
      <c r="P333" s="470">
        <f t="shared" si="116"/>
        <v>0</v>
      </c>
      <c r="Q333" s="470">
        <f t="shared" si="116"/>
        <v>0</v>
      </c>
      <c r="R333" s="470">
        <f t="shared" si="116"/>
        <v>0</v>
      </c>
      <c r="S333" s="469">
        <f t="shared" si="116"/>
        <v>34967</v>
      </c>
      <c r="T333" s="471">
        <f t="shared" si="116"/>
        <v>0</v>
      </c>
      <c r="V333" s="6">
        <f t="shared" si="87"/>
        <v>0</v>
      </c>
    </row>
    <row r="334" spans="1:22" ht="28.5">
      <c r="A334" s="29" t="s">
        <v>71</v>
      </c>
      <c r="B334" s="47" t="s">
        <v>72</v>
      </c>
      <c r="C334" s="29"/>
      <c r="D334" s="29"/>
      <c r="E334" s="29"/>
      <c r="F334" s="29"/>
      <c r="G334" s="58">
        <f t="shared" ref="G334:Q334" si="117">G335</f>
        <v>23850</v>
      </c>
      <c r="H334" s="58">
        <f t="shared" si="117"/>
        <v>0</v>
      </c>
      <c r="I334" s="58">
        <f t="shared" si="117"/>
        <v>0</v>
      </c>
      <c r="J334" s="58">
        <f t="shared" si="117"/>
        <v>0</v>
      </c>
      <c r="K334" s="58">
        <f t="shared" si="117"/>
        <v>23850</v>
      </c>
      <c r="L334" s="58">
        <f t="shared" si="117"/>
        <v>21854</v>
      </c>
      <c r="M334" s="48">
        <f t="shared" si="117"/>
        <v>57</v>
      </c>
      <c r="N334" s="49">
        <f t="shared" si="117"/>
        <v>0</v>
      </c>
      <c r="O334" s="49">
        <f t="shared" si="117"/>
        <v>0</v>
      </c>
      <c r="P334" s="49">
        <f t="shared" si="117"/>
        <v>0</v>
      </c>
      <c r="Q334" s="49">
        <f t="shared" si="117"/>
        <v>0</v>
      </c>
      <c r="R334" s="49">
        <f>R335</f>
        <v>0</v>
      </c>
      <c r="S334" s="48">
        <f>S335</f>
        <v>57</v>
      </c>
      <c r="T334" s="50">
        <f t="shared" ref="T334" si="118">T335</f>
        <v>0</v>
      </c>
      <c r="V334" s="6">
        <f t="shared" si="87"/>
        <v>0</v>
      </c>
    </row>
    <row r="335" spans="1:22" ht="60">
      <c r="A335" s="53">
        <v>1</v>
      </c>
      <c r="B335" s="59" t="s">
        <v>691</v>
      </c>
      <c r="C335" s="53" t="s">
        <v>40</v>
      </c>
      <c r="D335" s="53" t="s">
        <v>31</v>
      </c>
      <c r="E335" s="53" t="s">
        <v>77</v>
      </c>
      <c r="F335" s="73" t="s">
        <v>692</v>
      </c>
      <c r="G335" s="54">
        <f>SUM(H335:K335)</f>
        <v>23850</v>
      </c>
      <c r="H335" s="54"/>
      <c r="I335" s="54"/>
      <c r="J335" s="54"/>
      <c r="K335" s="54">
        <v>23850</v>
      </c>
      <c r="L335" s="54">
        <v>21854</v>
      </c>
      <c r="M335" s="57">
        <f>SUM(N335:S335)</f>
        <v>57</v>
      </c>
      <c r="N335" s="61"/>
      <c r="O335" s="61"/>
      <c r="P335" s="61"/>
      <c r="Q335" s="61"/>
      <c r="R335" s="61"/>
      <c r="S335" s="67">
        <v>57</v>
      </c>
      <c r="T335" s="37"/>
      <c r="V335" s="6">
        <f t="shared" si="87"/>
        <v>0</v>
      </c>
    </row>
    <row r="336" spans="1:22">
      <c r="A336" s="29" t="s">
        <v>82</v>
      </c>
      <c r="B336" s="47" t="s">
        <v>83</v>
      </c>
      <c r="C336" s="29"/>
      <c r="D336" s="29"/>
      <c r="E336" s="29"/>
      <c r="F336" s="29">
        <f t="shared" ref="F336:T336" si="119">SUM(F337:F340)</f>
        <v>0</v>
      </c>
      <c r="G336" s="58">
        <f t="shared" si="119"/>
        <v>71370</v>
      </c>
      <c r="H336" s="58">
        <f t="shared" si="119"/>
        <v>0</v>
      </c>
      <c r="I336" s="58">
        <f t="shared" si="119"/>
        <v>0</v>
      </c>
      <c r="J336" s="58">
        <f t="shared" si="119"/>
        <v>0</v>
      </c>
      <c r="K336" s="58">
        <f t="shared" si="119"/>
        <v>71370</v>
      </c>
      <c r="L336" s="58">
        <f t="shared" si="119"/>
        <v>29384</v>
      </c>
      <c r="M336" s="48">
        <f t="shared" si="119"/>
        <v>32019</v>
      </c>
      <c r="N336" s="49">
        <f t="shared" si="119"/>
        <v>0</v>
      </c>
      <c r="O336" s="49">
        <f t="shared" si="119"/>
        <v>0</v>
      </c>
      <c r="P336" s="49">
        <f t="shared" si="119"/>
        <v>0</v>
      </c>
      <c r="Q336" s="49">
        <f t="shared" si="119"/>
        <v>0</v>
      </c>
      <c r="R336" s="49">
        <f t="shared" si="119"/>
        <v>0</v>
      </c>
      <c r="S336" s="48">
        <f t="shared" si="119"/>
        <v>32019</v>
      </c>
      <c r="T336" s="50">
        <f t="shared" si="119"/>
        <v>0</v>
      </c>
      <c r="V336" s="6">
        <f t="shared" si="87"/>
        <v>0</v>
      </c>
    </row>
    <row r="337" spans="1:22" ht="30">
      <c r="A337" s="53">
        <v>1</v>
      </c>
      <c r="B337" s="59" t="s">
        <v>693</v>
      </c>
      <c r="C337" s="53" t="s">
        <v>136</v>
      </c>
      <c r="D337" s="53" t="s">
        <v>31</v>
      </c>
      <c r="E337" s="53" t="s">
        <v>59</v>
      </c>
      <c r="F337" s="53" t="s">
        <v>694</v>
      </c>
      <c r="G337" s="54">
        <f>SUM(H337:K337)</f>
        <v>16980</v>
      </c>
      <c r="H337" s="54"/>
      <c r="I337" s="54"/>
      <c r="J337" s="54"/>
      <c r="K337" s="54">
        <v>16980</v>
      </c>
      <c r="L337" s="60">
        <v>16000</v>
      </c>
      <c r="M337" s="57">
        <f>SUM(N337:S337)</f>
        <v>44</v>
      </c>
      <c r="N337" s="66"/>
      <c r="O337" s="66"/>
      <c r="P337" s="66"/>
      <c r="Q337" s="66"/>
      <c r="R337" s="114"/>
      <c r="S337" s="115">
        <f>500-456</f>
        <v>44</v>
      </c>
      <c r="T337" s="37"/>
      <c r="V337" s="6">
        <f t="shared" si="87"/>
        <v>0</v>
      </c>
    </row>
    <row r="338" spans="1:22" ht="30">
      <c r="A338" s="53">
        <v>2</v>
      </c>
      <c r="B338" s="59" t="s">
        <v>695</v>
      </c>
      <c r="C338" s="53" t="s">
        <v>136</v>
      </c>
      <c r="D338" s="53" t="s">
        <v>31</v>
      </c>
      <c r="E338" s="53" t="s">
        <v>59</v>
      </c>
      <c r="F338" s="53" t="s">
        <v>696</v>
      </c>
      <c r="G338" s="54">
        <f>SUM(H338:K338)</f>
        <v>28491</v>
      </c>
      <c r="H338" s="54"/>
      <c r="I338" s="54"/>
      <c r="J338" s="54"/>
      <c r="K338" s="54">
        <v>28491</v>
      </c>
      <c r="L338" s="54">
        <f>50+7154</f>
        <v>7204</v>
      </c>
      <c r="M338" s="57">
        <f>SUM(N338:S338)</f>
        <v>17850</v>
      </c>
      <c r="N338" s="66"/>
      <c r="O338" s="66"/>
      <c r="P338" s="66"/>
      <c r="Q338" s="66"/>
      <c r="R338" s="114"/>
      <c r="S338" s="115">
        <f>21287-3437</f>
        <v>17850</v>
      </c>
      <c r="T338" s="37"/>
      <c r="V338" s="6">
        <f t="shared" si="87"/>
        <v>0</v>
      </c>
    </row>
    <row r="339" spans="1:22" ht="30">
      <c r="A339" s="53">
        <v>3</v>
      </c>
      <c r="B339" s="59" t="s">
        <v>697</v>
      </c>
      <c r="C339" s="53" t="s">
        <v>136</v>
      </c>
      <c r="D339" s="53" t="s">
        <v>31</v>
      </c>
      <c r="E339" s="53" t="s">
        <v>59</v>
      </c>
      <c r="F339" s="53" t="s">
        <v>698</v>
      </c>
      <c r="G339" s="54">
        <f>SUM(H339:K339)</f>
        <v>9716</v>
      </c>
      <c r="H339" s="54"/>
      <c r="I339" s="54"/>
      <c r="J339" s="54"/>
      <c r="K339" s="54">
        <v>9716</v>
      </c>
      <c r="L339" s="54">
        <v>2140</v>
      </c>
      <c r="M339" s="57">
        <f>SUM(N339:S339)</f>
        <v>3794</v>
      </c>
      <c r="N339" s="66"/>
      <c r="O339" s="66"/>
      <c r="P339" s="66"/>
      <c r="Q339" s="66"/>
      <c r="R339" s="114"/>
      <c r="S339" s="115">
        <f>7576-3782</f>
        <v>3794</v>
      </c>
      <c r="T339" s="37"/>
      <c r="V339" s="6">
        <f t="shared" si="87"/>
        <v>0</v>
      </c>
    </row>
    <row r="340" spans="1:22" ht="30">
      <c r="A340" s="53">
        <v>4</v>
      </c>
      <c r="B340" s="59" t="s">
        <v>699</v>
      </c>
      <c r="C340" s="53" t="s">
        <v>136</v>
      </c>
      <c r="D340" s="53" t="s">
        <v>31</v>
      </c>
      <c r="E340" s="53" t="s">
        <v>59</v>
      </c>
      <c r="F340" s="53" t="s">
        <v>700</v>
      </c>
      <c r="G340" s="54">
        <f>SUM(H340:K340)</f>
        <v>16183</v>
      </c>
      <c r="H340" s="54"/>
      <c r="I340" s="54"/>
      <c r="J340" s="54"/>
      <c r="K340" s="54">
        <v>16183</v>
      </c>
      <c r="L340" s="54">
        <v>4040</v>
      </c>
      <c r="M340" s="57">
        <f>SUM(N340:S340)</f>
        <v>10331</v>
      </c>
      <c r="N340" s="66"/>
      <c r="O340" s="66"/>
      <c r="P340" s="66"/>
      <c r="Q340" s="66"/>
      <c r="R340" s="114"/>
      <c r="S340" s="115">
        <f>12143-1812</f>
        <v>10331</v>
      </c>
      <c r="T340" s="37"/>
      <c r="V340" s="6">
        <f t="shared" ref="V340:V403" si="120">G340-H340-I340-J340-K340</f>
        <v>0</v>
      </c>
    </row>
    <row r="341" spans="1:22">
      <c r="A341" s="29" t="s">
        <v>102</v>
      </c>
      <c r="B341" s="47" t="s">
        <v>103</v>
      </c>
      <c r="C341" s="29"/>
      <c r="D341" s="29"/>
      <c r="E341" s="29"/>
      <c r="F341" s="29">
        <f t="shared" ref="F341:T341" si="121">SUM(F342)</f>
        <v>0</v>
      </c>
      <c r="G341" s="58">
        <f t="shared" si="121"/>
        <v>2999</v>
      </c>
      <c r="H341" s="58">
        <f t="shared" si="121"/>
        <v>0</v>
      </c>
      <c r="I341" s="58">
        <f t="shared" si="121"/>
        <v>0</v>
      </c>
      <c r="J341" s="58">
        <f t="shared" si="121"/>
        <v>0</v>
      </c>
      <c r="K341" s="58">
        <f t="shared" si="121"/>
        <v>2999</v>
      </c>
      <c r="L341" s="58">
        <f t="shared" si="121"/>
        <v>0</v>
      </c>
      <c r="M341" s="48">
        <f t="shared" si="121"/>
        <v>2891</v>
      </c>
      <c r="N341" s="49">
        <f t="shared" si="121"/>
        <v>0</v>
      </c>
      <c r="O341" s="49">
        <f t="shared" si="121"/>
        <v>0</v>
      </c>
      <c r="P341" s="49">
        <f t="shared" si="121"/>
        <v>0</v>
      </c>
      <c r="Q341" s="49">
        <f t="shared" si="121"/>
        <v>0</v>
      </c>
      <c r="R341" s="49">
        <f t="shared" si="121"/>
        <v>0</v>
      </c>
      <c r="S341" s="48">
        <f t="shared" si="121"/>
        <v>2891</v>
      </c>
      <c r="T341" s="50">
        <f t="shared" si="121"/>
        <v>0</v>
      </c>
      <c r="V341" s="6">
        <f t="shared" si="120"/>
        <v>0</v>
      </c>
    </row>
    <row r="342" spans="1:22" ht="30">
      <c r="A342" s="53">
        <v>1</v>
      </c>
      <c r="B342" s="96" t="s">
        <v>687</v>
      </c>
      <c r="C342" s="53" t="s">
        <v>40</v>
      </c>
      <c r="D342" s="53" t="s">
        <v>31</v>
      </c>
      <c r="E342" s="53" t="s">
        <v>283</v>
      </c>
      <c r="F342" s="120" t="s">
        <v>701</v>
      </c>
      <c r="G342" s="121">
        <f>SUM(H342:K342)</f>
        <v>2999</v>
      </c>
      <c r="H342" s="67"/>
      <c r="I342" s="67"/>
      <c r="J342" s="67"/>
      <c r="K342" s="121">
        <v>2999</v>
      </c>
      <c r="L342" s="54"/>
      <c r="M342" s="57">
        <f>SUM(N342:S342)</f>
        <v>2891</v>
      </c>
      <c r="N342" s="66"/>
      <c r="O342" s="66"/>
      <c r="P342" s="66"/>
      <c r="Q342" s="66"/>
      <c r="R342" s="114"/>
      <c r="S342" s="115">
        <v>2891</v>
      </c>
      <c r="T342" s="37"/>
      <c r="V342" s="6">
        <f t="shared" si="120"/>
        <v>0</v>
      </c>
    </row>
    <row r="343" spans="1:22" ht="42.75">
      <c r="A343" s="478" t="s">
        <v>702</v>
      </c>
      <c r="B343" s="47" t="s">
        <v>703</v>
      </c>
      <c r="C343" s="29"/>
      <c r="D343" s="29"/>
      <c r="E343" s="29"/>
      <c r="F343" s="48">
        <f t="shared" ref="F343:T343" si="122">F344+F372</f>
        <v>0</v>
      </c>
      <c r="G343" s="48">
        <f t="shared" si="122"/>
        <v>668476.84982500004</v>
      </c>
      <c r="H343" s="48">
        <f t="shared" si="122"/>
        <v>14730</v>
      </c>
      <c r="I343" s="48">
        <f t="shared" si="122"/>
        <v>0</v>
      </c>
      <c r="J343" s="48">
        <f t="shared" si="122"/>
        <v>0</v>
      </c>
      <c r="K343" s="48">
        <f t="shared" si="122"/>
        <v>653746.84982500004</v>
      </c>
      <c r="L343" s="48">
        <f t="shared" si="122"/>
        <v>178540</v>
      </c>
      <c r="M343" s="48">
        <f t="shared" si="122"/>
        <v>395089</v>
      </c>
      <c r="N343" s="49">
        <f t="shared" si="122"/>
        <v>0</v>
      </c>
      <c r="O343" s="49">
        <f t="shared" si="122"/>
        <v>0</v>
      </c>
      <c r="P343" s="49">
        <f t="shared" si="122"/>
        <v>0</v>
      </c>
      <c r="Q343" s="49">
        <f t="shared" si="122"/>
        <v>0</v>
      </c>
      <c r="R343" s="49">
        <f t="shared" si="122"/>
        <v>0</v>
      </c>
      <c r="S343" s="48">
        <f t="shared" si="122"/>
        <v>395089</v>
      </c>
      <c r="T343" s="50">
        <f t="shared" si="122"/>
        <v>0</v>
      </c>
      <c r="V343" s="6">
        <f t="shared" si="120"/>
        <v>0</v>
      </c>
    </row>
    <row r="344" spans="1:22">
      <c r="A344" s="478" t="s">
        <v>37</v>
      </c>
      <c r="B344" s="47" t="s">
        <v>38</v>
      </c>
      <c r="C344" s="29"/>
      <c r="D344" s="29"/>
      <c r="E344" s="29"/>
      <c r="F344" s="73"/>
      <c r="G344" s="48">
        <f>SUM(G345:G371)</f>
        <v>8164</v>
      </c>
      <c r="H344" s="48">
        <f t="shared" ref="H344:T344" si="123">SUM(H345:H371)</f>
        <v>0</v>
      </c>
      <c r="I344" s="48">
        <f t="shared" si="123"/>
        <v>0</v>
      </c>
      <c r="J344" s="48">
        <f t="shared" si="123"/>
        <v>0</v>
      </c>
      <c r="K344" s="48">
        <f t="shared" si="123"/>
        <v>8164</v>
      </c>
      <c r="L344" s="48">
        <f t="shared" si="123"/>
        <v>0</v>
      </c>
      <c r="M344" s="48">
        <f t="shared" si="123"/>
        <v>7553</v>
      </c>
      <c r="N344" s="49">
        <f t="shared" si="123"/>
        <v>0</v>
      </c>
      <c r="O344" s="49">
        <f t="shared" si="123"/>
        <v>0</v>
      </c>
      <c r="P344" s="49">
        <f t="shared" si="123"/>
        <v>0</v>
      </c>
      <c r="Q344" s="49">
        <f t="shared" si="123"/>
        <v>0</v>
      </c>
      <c r="R344" s="49">
        <f t="shared" si="123"/>
        <v>0</v>
      </c>
      <c r="S344" s="48">
        <f t="shared" si="123"/>
        <v>7553</v>
      </c>
      <c r="T344" s="50">
        <f t="shared" si="123"/>
        <v>0</v>
      </c>
      <c r="V344" s="6">
        <f t="shared" si="120"/>
        <v>0</v>
      </c>
    </row>
    <row r="345" spans="1:22" ht="114.75" customHeight="1">
      <c r="A345" s="75">
        <v>1</v>
      </c>
      <c r="B345" s="16" t="s">
        <v>704</v>
      </c>
      <c r="C345" s="178" t="s">
        <v>40</v>
      </c>
      <c r="D345" s="29"/>
      <c r="E345" s="76">
        <v>2025</v>
      </c>
      <c r="F345" s="157" t="s">
        <v>705</v>
      </c>
      <c r="G345" s="64">
        <f>SUM(H345:K345)</f>
        <v>140</v>
      </c>
      <c r="H345" s="58"/>
      <c r="I345" s="58"/>
      <c r="J345" s="58"/>
      <c r="K345" s="64">
        <v>140</v>
      </c>
      <c r="L345" s="58"/>
      <c r="M345" s="19">
        <f>SUM(N345:S345)</f>
        <v>0</v>
      </c>
      <c r="N345" s="49"/>
      <c r="O345" s="49"/>
      <c r="P345" s="49"/>
      <c r="Q345" s="49"/>
      <c r="R345" s="49"/>
      <c r="S345" s="19">
        <v>0</v>
      </c>
      <c r="T345" s="50"/>
      <c r="V345" s="6">
        <f t="shared" si="120"/>
        <v>0</v>
      </c>
    </row>
    <row r="346" spans="1:22" ht="30">
      <c r="A346" s="75">
        <v>2</v>
      </c>
      <c r="B346" s="16" t="s">
        <v>706</v>
      </c>
      <c r="C346" s="80" t="s">
        <v>40</v>
      </c>
      <c r="D346" s="29"/>
      <c r="E346" s="76" t="s">
        <v>41</v>
      </c>
      <c r="F346" s="15" t="s">
        <v>707</v>
      </c>
      <c r="G346" s="64">
        <f t="shared" ref="G346:G371" si="124">SUM(H346:K346)</f>
        <v>139</v>
      </c>
      <c r="H346" s="58"/>
      <c r="I346" s="58"/>
      <c r="J346" s="58"/>
      <c r="K346" s="64">
        <v>139</v>
      </c>
      <c r="L346" s="58"/>
      <c r="M346" s="19">
        <f t="shared" ref="M346:M371" si="125">SUM(N346:S346)</f>
        <v>50</v>
      </c>
      <c r="N346" s="49"/>
      <c r="O346" s="49"/>
      <c r="P346" s="49"/>
      <c r="Q346" s="49"/>
      <c r="R346" s="49"/>
      <c r="S346" s="19">
        <v>50</v>
      </c>
      <c r="T346" s="50"/>
      <c r="V346" s="6">
        <f t="shared" si="120"/>
        <v>0</v>
      </c>
    </row>
    <row r="347" spans="1:22" ht="22.5" customHeight="1">
      <c r="A347" s="75">
        <v>3</v>
      </c>
      <c r="B347" s="16" t="s">
        <v>708</v>
      </c>
      <c r="C347" s="80" t="s">
        <v>58</v>
      </c>
      <c r="D347" s="29"/>
      <c r="E347" s="76" t="s">
        <v>112</v>
      </c>
      <c r="F347" s="15"/>
      <c r="G347" s="64">
        <f t="shared" si="124"/>
        <v>0</v>
      </c>
      <c r="H347" s="58"/>
      <c r="I347" s="58"/>
      <c r="J347" s="58"/>
      <c r="K347" s="64"/>
      <c r="L347" s="58"/>
      <c r="M347" s="19">
        <f t="shared" si="125"/>
        <v>1500</v>
      </c>
      <c r="N347" s="49"/>
      <c r="O347" s="49"/>
      <c r="P347" s="49"/>
      <c r="Q347" s="49"/>
      <c r="R347" s="49"/>
      <c r="S347" s="19">
        <v>1500</v>
      </c>
      <c r="T347" s="50"/>
      <c r="V347" s="6">
        <f t="shared" si="120"/>
        <v>0</v>
      </c>
    </row>
    <row r="348" spans="1:22" ht="60">
      <c r="A348" s="75">
        <v>4</v>
      </c>
      <c r="B348" s="177" t="s">
        <v>709</v>
      </c>
      <c r="C348" s="80" t="s">
        <v>40</v>
      </c>
      <c r="D348" s="29"/>
      <c r="E348" s="15" t="s">
        <v>166</v>
      </c>
      <c r="F348" s="41" t="s">
        <v>710</v>
      </c>
      <c r="G348" s="64">
        <f t="shared" si="124"/>
        <v>333</v>
      </c>
      <c r="H348" s="58"/>
      <c r="I348" s="58"/>
      <c r="J348" s="58"/>
      <c r="K348" s="64">
        <v>333</v>
      </c>
      <c r="L348" s="58"/>
      <c r="M348" s="19">
        <f t="shared" si="125"/>
        <v>300</v>
      </c>
      <c r="N348" s="49"/>
      <c r="O348" s="49"/>
      <c r="P348" s="49"/>
      <c r="Q348" s="49"/>
      <c r="R348" s="49"/>
      <c r="S348" s="19">
        <v>300</v>
      </c>
      <c r="T348" s="50"/>
      <c r="V348" s="6">
        <f t="shared" si="120"/>
        <v>0</v>
      </c>
    </row>
    <row r="349" spans="1:22" ht="90">
      <c r="A349" s="75">
        <v>5</v>
      </c>
      <c r="B349" s="16" t="s">
        <v>711</v>
      </c>
      <c r="C349" s="80" t="s">
        <v>40</v>
      </c>
      <c r="D349" s="29"/>
      <c r="E349" s="76" t="s">
        <v>112</v>
      </c>
      <c r="F349" s="495" t="s">
        <v>712</v>
      </c>
      <c r="G349" s="496">
        <v>2159</v>
      </c>
      <c r="H349" s="58"/>
      <c r="I349" s="58"/>
      <c r="J349" s="58"/>
      <c r="K349" s="496">
        <v>2159</v>
      </c>
      <c r="L349" s="58"/>
      <c r="M349" s="19">
        <f t="shared" si="125"/>
        <v>2159</v>
      </c>
      <c r="N349" s="49"/>
      <c r="O349" s="49"/>
      <c r="P349" s="49"/>
      <c r="Q349" s="49"/>
      <c r="R349" s="49"/>
      <c r="S349" s="19">
        <v>2159</v>
      </c>
      <c r="T349" s="50"/>
      <c r="V349" s="6">
        <f t="shared" si="120"/>
        <v>0</v>
      </c>
    </row>
    <row r="350" spans="1:22" ht="60">
      <c r="A350" s="75">
        <v>6</v>
      </c>
      <c r="B350" s="16" t="s">
        <v>713</v>
      </c>
      <c r="C350" s="80" t="s">
        <v>40</v>
      </c>
      <c r="D350" s="29"/>
      <c r="E350" s="76" t="s">
        <v>166</v>
      </c>
      <c r="F350" s="15" t="s">
        <v>714</v>
      </c>
      <c r="G350" s="64">
        <f t="shared" si="124"/>
        <v>164</v>
      </c>
      <c r="H350" s="58"/>
      <c r="I350" s="58"/>
      <c r="J350" s="58"/>
      <c r="K350" s="64">
        <v>164</v>
      </c>
      <c r="L350" s="58"/>
      <c r="M350" s="19">
        <f t="shared" si="125"/>
        <v>150</v>
      </c>
      <c r="N350" s="49"/>
      <c r="O350" s="49"/>
      <c r="P350" s="49"/>
      <c r="Q350" s="49"/>
      <c r="R350" s="49"/>
      <c r="S350" s="19">
        <v>150</v>
      </c>
      <c r="T350" s="50"/>
      <c r="V350" s="6">
        <f t="shared" si="120"/>
        <v>0</v>
      </c>
    </row>
    <row r="351" spans="1:22" ht="30">
      <c r="A351" s="75">
        <v>7</v>
      </c>
      <c r="B351" s="16" t="s">
        <v>715</v>
      </c>
      <c r="C351" s="80" t="s">
        <v>58</v>
      </c>
      <c r="D351" s="29"/>
      <c r="E351" s="76" t="s">
        <v>41</v>
      </c>
      <c r="F351" s="179" t="s">
        <v>716</v>
      </c>
      <c r="G351" s="64">
        <f t="shared" si="124"/>
        <v>241</v>
      </c>
      <c r="H351" s="58"/>
      <c r="I351" s="58"/>
      <c r="J351" s="58"/>
      <c r="K351" s="64">
        <v>241</v>
      </c>
      <c r="L351" s="58"/>
      <c r="M351" s="19">
        <f t="shared" si="125"/>
        <v>200</v>
      </c>
      <c r="N351" s="49"/>
      <c r="O351" s="49"/>
      <c r="P351" s="49"/>
      <c r="Q351" s="49"/>
      <c r="R351" s="49"/>
      <c r="S351" s="19">
        <v>200</v>
      </c>
      <c r="T351" s="50"/>
      <c r="V351" s="6">
        <f t="shared" si="120"/>
        <v>0</v>
      </c>
    </row>
    <row r="352" spans="1:22" ht="60">
      <c r="A352" s="75">
        <v>8</v>
      </c>
      <c r="B352" s="156" t="s">
        <v>717</v>
      </c>
      <c r="C352" s="157" t="s">
        <v>40</v>
      </c>
      <c r="D352" s="29"/>
      <c r="E352" s="157" t="s">
        <v>500</v>
      </c>
      <c r="F352" s="157" t="s">
        <v>718</v>
      </c>
      <c r="G352" s="64">
        <f t="shared" si="124"/>
        <v>172</v>
      </c>
      <c r="H352" s="58"/>
      <c r="I352" s="58"/>
      <c r="J352" s="58"/>
      <c r="K352" s="64">
        <v>172</v>
      </c>
      <c r="L352" s="58"/>
      <c r="M352" s="19">
        <f t="shared" si="125"/>
        <v>120</v>
      </c>
      <c r="N352" s="49"/>
      <c r="O352" s="49"/>
      <c r="P352" s="49"/>
      <c r="Q352" s="49"/>
      <c r="R352" s="49"/>
      <c r="S352" s="19">
        <v>120</v>
      </c>
      <c r="T352" s="50"/>
      <c r="V352" s="6">
        <f t="shared" si="120"/>
        <v>0</v>
      </c>
    </row>
    <row r="353" spans="1:22" ht="30">
      <c r="A353" s="75">
        <v>9</v>
      </c>
      <c r="B353" s="16" t="s">
        <v>719</v>
      </c>
      <c r="C353" s="80" t="s">
        <v>136</v>
      </c>
      <c r="D353" s="29"/>
      <c r="E353" s="33" t="s">
        <v>41</v>
      </c>
      <c r="F353" s="33" t="s">
        <v>720</v>
      </c>
      <c r="G353" s="64">
        <f t="shared" si="124"/>
        <v>319</v>
      </c>
      <c r="H353" s="58"/>
      <c r="I353" s="58"/>
      <c r="J353" s="58"/>
      <c r="K353" s="64">
        <v>319</v>
      </c>
      <c r="L353" s="58"/>
      <c r="M353" s="19">
        <f t="shared" si="125"/>
        <v>290</v>
      </c>
      <c r="N353" s="49"/>
      <c r="O353" s="49"/>
      <c r="P353" s="49"/>
      <c r="Q353" s="49"/>
      <c r="R353" s="49"/>
      <c r="S353" s="19">
        <v>290</v>
      </c>
      <c r="T353" s="50"/>
      <c r="V353" s="6">
        <f t="shared" si="120"/>
        <v>0</v>
      </c>
    </row>
    <row r="354" spans="1:22" ht="45">
      <c r="A354" s="75">
        <v>10</v>
      </c>
      <c r="B354" s="180" t="s">
        <v>721</v>
      </c>
      <c r="C354" s="15" t="s">
        <v>40</v>
      </c>
      <c r="D354" s="29"/>
      <c r="E354" s="33" t="s">
        <v>41</v>
      </c>
      <c r="F354" s="155" t="s">
        <v>722</v>
      </c>
      <c r="G354" s="64">
        <f t="shared" si="124"/>
        <v>202</v>
      </c>
      <c r="H354" s="58"/>
      <c r="I354" s="58"/>
      <c r="J354" s="58"/>
      <c r="K354" s="64">
        <v>202</v>
      </c>
      <c r="L354" s="58"/>
      <c r="M354" s="19">
        <f t="shared" si="125"/>
        <v>180</v>
      </c>
      <c r="N354" s="49"/>
      <c r="O354" s="49"/>
      <c r="P354" s="49"/>
      <c r="Q354" s="49"/>
      <c r="R354" s="49"/>
      <c r="S354" s="19">
        <v>180</v>
      </c>
      <c r="T354" s="50"/>
      <c r="V354" s="6">
        <f t="shared" si="120"/>
        <v>0</v>
      </c>
    </row>
    <row r="355" spans="1:22" ht="30">
      <c r="A355" s="75">
        <v>11</v>
      </c>
      <c r="B355" s="180" t="s">
        <v>723</v>
      </c>
      <c r="C355" s="15" t="s">
        <v>40</v>
      </c>
      <c r="D355" s="29"/>
      <c r="E355" s="33" t="s">
        <v>41</v>
      </c>
      <c r="F355" s="155" t="s">
        <v>724</v>
      </c>
      <c r="G355" s="64">
        <f t="shared" si="124"/>
        <v>236</v>
      </c>
      <c r="H355" s="58"/>
      <c r="I355" s="58"/>
      <c r="J355" s="58"/>
      <c r="K355" s="64">
        <v>236</v>
      </c>
      <c r="L355" s="58"/>
      <c r="M355" s="19">
        <f t="shared" si="125"/>
        <v>210</v>
      </c>
      <c r="N355" s="49"/>
      <c r="O355" s="49"/>
      <c r="P355" s="49"/>
      <c r="Q355" s="49"/>
      <c r="R355" s="49"/>
      <c r="S355" s="19">
        <v>210</v>
      </c>
      <c r="T355" s="50"/>
      <c r="V355" s="6">
        <f t="shared" si="120"/>
        <v>0</v>
      </c>
    </row>
    <row r="356" spans="1:22" ht="45">
      <c r="A356" s="75">
        <v>12</v>
      </c>
      <c r="B356" s="16" t="s">
        <v>725</v>
      </c>
      <c r="C356" s="15" t="s">
        <v>92</v>
      </c>
      <c r="D356" s="29"/>
      <c r="E356" s="33" t="s">
        <v>41</v>
      </c>
      <c r="F356" s="15" t="s">
        <v>726</v>
      </c>
      <c r="G356" s="64">
        <f t="shared" si="124"/>
        <v>56</v>
      </c>
      <c r="H356" s="58"/>
      <c r="I356" s="58"/>
      <c r="J356" s="58"/>
      <c r="K356" s="64">
        <v>56</v>
      </c>
      <c r="L356" s="58"/>
      <c r="M356" s="19">
        <f t="shared" si="125"/>
        <v>50</v>
      </c>
      <c r="N356" s="49"/>
      <c r="O356" s="49"/>
      <c r="P356" s="49"/>
      <c r="Q356" s="49"/>
      <c r="R356" s="49"/>
      <c r="S356" s="19">
        <v>50</v>
      </c>
      <c r="T356" s="50"/>
      <c r="V356" s="6">
        <f t="shared" si="120"/>
        <v>0</v>
      </c>
    </row>
    <row r="357" spans="1:22" ht="30">
      <c r="A357" s="75">
        <v>13</v>
      </c>
      <c r="B357" s="16" t="s">
        <v>727</v>
      </c>
      <c r="C357" s="15" t="s">
        <v>40</v>
      </c>
      <c r="D357" s="29"/>
      <c r="E357" s="33" t="s">
        <v>41</v>
      </c>
      <c r="F357" s="15" t="s">
        <v>728</v>
      </c>
      <c r="G357" s="64">
        <f t="shared" si="124"/>
        <v>48</v>
      </c>
      <c r="H357" s="58"/>
      <c r="I357" s="58"/>
      <c r="J357" s="58"/>
      <c r="K357" s="64">
        <v>48</v>
      </c>
      <c r="L357" s="58"/>
      <c r="M357" s="19">
        <f t="shared" si="125"/>
        <v>40</v>
      </c>
      <c r="N357" s="49"/>
      <c r="O357" s="49"/>
      <c r="P357" s="49"/>
      <c r="Q357" s="49"/>
      <c r="R357" s="49"/>
      <c r="S357" s="19">
        <v>40</v>
      </c>
      <c r="T357" s="50"/>
      <c r="V357" s="6">
        <f t="shared" si="120"/>
        <v>0</v>
      </c>
    </row>
    <row r="358" spans="1:22" ht="60">
      <c r="A358" s="75">
        <v>14</v>
      </c>
      <c r="B358" s="16" t="s">
        <v>729</v>
      </c>
      <c r="C358" s="15" t="s">
        <v>40</v>
      </c>
      <c r="D358" s="29"/>
      <c r="E358" s="76" t="s">
        <v>500</v>
      </c>
      <c r="F358" s="81" t="s">
        <v>730</v>
      </c>
      <c r="G358" s="64">
        <f t="shared" si="124"/>
        <v>657</v>
      </c>
      <c r="H358" s="58"/>
      <c r="I358" s="58"/>
      <c r="J358" s="58"/>
      <c r="K358" s="64">
        <v>657</v>
      </c>
      <c r="L358" s="58"/>
      <c r="M358" s="19">
        <f t="shared" si="125"/>
        <v>600</v>
      </c>
      <c r="N358" s="49"/>
      <c r="O358" s="49"/>
      <c r="P358" s="49"/>
      <c r="Q358" s="49"/>
      <c r="R358" s="49"/>
      <c r="S358" s="19">
        <v>600</v>
      </c>
      <c r="T358" s="50"/>
      <c r="V358" s="6">
        <f t="shared" si="120"/>
        <v>0</v>
      </c>
    </row>
    <row r="359" spans="1:22" ht="30">
      <c r="A359" s="75">
        <v>15</v>
      </c>
      <c r="B359" s="84" t="s">
        <v>731</v>
      </c>
      <c r="C359" s="76" t="s">
        <v>40</v>
      </c>
      <c r="D359" s="29"/>
      <c r="E359" s="76" t="s">
        <v>732</v>
      </c>
      <c r="F359" s="81" t="s">
        <v>733</v>
      </c>
      <c r="G359" s="64">
        <f t="shared" si="124"/>
        <v>0</v>
      </c>
      <c r="H359" s="58"/>
      <c r="I359" s="58"/>
      <c r="J359" s="58"/>
      <c r="K359" s="64"/>
      <c r="L359" s="58"/>
      <c r="M359" s="19">
        <f t="shared" si="125"/>
        <v>100</v>
      </c>
      <c r="N359" s="49"/>
      <c r="O359" s="49"/>
      <c r="P359" s="49"/>
      <c r="Q359" s="49"/>
      <c r="R359" s="49"/>
      <c r="S359" s="19">
        <v>100</v>
      </c>
      <c r="T359" s="50"/>
      <c r="V359" s="6">
        <f t="shared" si="120"/>
        <v>0</v>
      </c>
    </row>
    <row r="360" spans="1:22" ht="30">
      <c r="A360" s="75">
        <v>16</v>
      </c>
      <c r="B360" s="156" t="s">
        <v>734</v>
      </c>
      <c r="C360" s="76" t="s">
        <v>40</v>
      </c>
      <c r="D360" s="29"/>
      <c r="E360" s="76" t="s">
        <v>41</v>
      </c>
      <c r="F360" s="157" t="s">
        <v>735</v>
      </c>
      <c r="G360" s="64">
        <f t="shared" si="124"/>
        <v>157</v>
      </c>
      <c r="H360" s="58"/>
      <c r="I360" s="58"/>
      <c r="J360" s="58"/>
      <c r="K360" s="64">
        <v>157</v>
      </c>
      <c r="L360" s="58"/>
      <c r="M360" s="19">
        <f t="shared" si="125"/>
        <v>100</v>
      </c>
      <c r="N360" s="49"/>
      <c r="O360" s="49"/>
      <c r="P360" s="49"/>
      <c r="Q360" s="49"/>
      <c r="R360" s="49"/>
      <c r="S360" s="19">
        <v>100</v>
      </c>
      <c r="T360" s="50"/>
      <c r="V360" s="6">
        <f t="shared" si="120"/>
        <v>0</v>
      </c>
    </row>
    <row r="361" spans="1:22" ht="30">
      <c r="A361" s="75">
        <v>17</v>
      </c>
      <c r="B361" s="156" t="s">
        <v>736</v>
      </c>
      <c r="C361" s="76" t="s">
        <v>40</v>
      </c>
      <c r="D361" s="29"/>
      <c r="E361" s="76" t="s">
        <v>41</v>
      </c>
      <c r="F361" s="157" t="s">
        <v>737</v>
      </c>
      <c r="G361" s="64">
        <f t="shared" si="124"/>
        <v>86</v>
      </c>
      <c r="H361" s="58"/>
      <c r="I361" s="58"/>
      <c r="J361" s="58"/>
      <c r="K361" s="64">
        <v>86</v>
      </c>
      <c r="L361" s="58"/>
      <c r="M361" s="19">
        <f t="shared" si="125"/>
        <v>50</v>
      </c>
      <c r="N361" s="49"/>
      <c r="O361" s="49"/>
      <c r="P361" s="49"/>
      <c r="Q361" s="49"/>
      <c r="R361" s="49"/>
      <c r="S361" s="19">
        <v>50</v>
      </c>
      <c r="T361" s="50"/>
      <c r="V361" s="6">
        <f t="shared" si="120"/>
        <v>0</v>
      </c>
    </row>
    <row r="362" spans="1:22" ht="60">
      <c r="A362" s="75">
        <v>18</v>
      </c>
      <c r="B362" s="156" t="s">
        <v>738</v>
      </c>
      <c r="C362" s="157" t="s">
        <v>40</v>
      </c>
      <c r="D362" s="29"/>
      <c r="E362" s="157" t="s">
        <v>500</v>
      </c>
      <c r="F362" s="157" t="s">
        <v>739</v>
      </c>
      <c r="G362" s="64">
        <f t="shared" si="124"/>
        <v>92</v>
      </c>
      <c r="H362" s="58"/>
      <c r="I362" s="58"/>
      <c r="J362" s="58"/>
      <c r="K362" s="64">
        <v>92</v>
      </c>
      <c r="L362" s="58"/>
      <c r="M362" s="19">
        <f t="shared" si="125"/>
        <v>65</v>
      </c>
      <c r="N362" s="49"/>
      <c r="O362" s="49"/>
      <c r="P362" s="49"/>
      <c r="Q362" s="49"/>
      <c r="R362" s="49"/>
      <c r="S362" s="19">
        <v>65</v>
      </c>
      <c r="T362" s="50"/>
      <c r="V362" s="6">
        <f t="shared" si="120"/>
        <v>0</v>
      </c>
    </row>
    <row r="363" spans="1:22" ht="60">
      <c r="A363" s="75">
        <v>19</v>
      </c>
      <c r="B363" s="156" t="s">
        <v>740</v>
      </c>
      <c r="C363" s="157" t="s">
        <v>40</v>
      </c>
      <c r="D363" s="29"/>
      <c r="E363" s="157" t="s">
        <v>500</v>
      </c>
      <c r="F363" s="157" t="s">
        <v>741</v>
      </c>
      <c r="G363" s="64">
        <f t="shared" si="124"/>
        <v>161</v>
      </c>
      <c r="H363" s="58"/>
      <c r="I363" s="58"/>
      <c r="J363" s="58"/>
      <c r="K363" s="64">
        <v>161</v>
      </c>
      <c r="L363" s="58"/>
      <c r="M363" s="19">
        <f t="shared" si="125"/>
        <v>113</v>
      </c>
      <c r="N363" s="49"/>
      <c r="O363" s="49"/>
      <c r="P363" s="49"/>
      <c r="Q363" s="49"/>
      <c r="R363" s="49"/>
      <c r="S363" s="19">
        <v>113</v>
      </c>
      <c r="T363" s="50"/>
      <c r="V363" s="6">
        <f t="shared" si="120"/>
        <v>0</v>
      </c>
    </row>
    <row r="364" spans="1:22" ht="30">
      <c r="A364" s="75">
        <v>20</v>
      </c>
      <c r="B364" s="156" t="s">
        <v>742</v>
      </c>
      <c r="C364" s="157" t="s">
        <v>40</v>
      </c>
      <c r="D364" s="29"/>
      <c r="E364" s="157" t="s">
        <v>500</v>
      </c>
      <c r="F364" s="157" t="s">
        <v>743</v>
      </c>
      <c r="G364" s="64">
        <f t="shared" si="124"/>
        <v>101</v>
      </c>
      <c r="H364" s="58"/>
      <c r="I364" s="58"/>
      <c r="J364" s="58"/>
      <c r="K364" s="64">
        <v>101</v>
      </c>
      <c r="L364" s="58"/>
      <c r="M364" s="19">
        <f t="shared" si="125"/>
        <v>71</v>
      </c>
      <c r="N364" s="49"/>
      <c r="O364" s="49"/>
      <c r="P364" s="49"/>
      <c r="Q364" s="49"/>
      <c r="R364" s="49"/>
      <c r="S364" s="19">
        <v>71</v>
      </c>
      <c r="T364" s="50"/>
      <c r="V364" s="6">
        <f t="shared" si="120"/>
        <v>0</v>
      </c>
    </row>
    <row r="365" spans="1:22" ht="60">
      <c r="A365" s="75">
        <v>21</v>
      </c>
      <c r="B365" s="39" t="s">
        <v>744</v>
      </c>
      <c r="C365" s="41" t="s">
        <v>40</v>
      </c>
      <c r="D365" s="29"/>
      <c r="E365" s="41">
        <v>2022</v>
      </c>
      <c r="F365" s="41" t="s">
        <v>745</v>
      </c>
      <c r="G365" s="64">
        <f t="shared" si="124"/>
        <v>204</v>
      </c>
      <c r="H365" s="58"/>
      <c r="I365" s="58"/>
      <c r="J365" s="58"/>
      <c r="K365" s="64">
        <v>204</v>
      </c>
      <c r="L365" s="58"/>
      <c r="M365" s="19">
        <f t="shared" si="125"/>
        <v>180</v>
      </c>
      <c r="N365" s="49"/>
      <c r="O365" s="49"/>
      <c r="P365" s="49"/>
      <c r="Q365" s="49"/>
      <c r="R365" s="49"/>
      <c r="S365" s="19">
        <v>180</v>
      </c>
      <c r="T365" s="50"/>
      <c r="V365" s="6">
        <f t="shared" si="120"/>
        <v>0</v>
      </c>
    </row>
    <row r="366" spans="1:22" ht="60">
      <c r="A366" s="75">
        <v>22</v>
      </c>
      <c r="B366" s="39" t="s">
        <v>746</v>
      </c>
      <c r="C366" s="41" t="s">
        <v>40</v>
      </c>
      <c r="D366" s="29"/>
      <c r="E366" s="41">
        <v>2022</v>
      </c>
      <c r="F366" s="41" t="s">
        <v>747</v>
      </c>
      <c r="G366" s="64">
        <f t="shared" si="124"/>
        <v>152</v>
      </c>
      <c r="H366" s="58"/>
      <c r="I366" s="58"/>
      <c r="J366" s="58"/>
      <c r="K366" s="64">
        <v>152</v>
      </c>
      <c r="L366" s="58"/>
      <c r="M366" s="19">
        <f t="shared" si="125"/>
        <v>145</v>
      </c>
      <c r="N366" s="49"/>
      <c r="O366" s="49"/>
      <c r="P366" s="49"/>
      <c r="Q366" s="49"/>
      <c r="R366" s="49"/>
      <c r="S366" s="19">
        <v>145</v>
      </c>
      <c r="T366" s="50"/>
      <c r="V366" s="6">
        <f t="shared" si="120"/>
        <v>0</v>
      </c>
    </row>
    <row r="367" spans="1:22" ht="60">
      <c r="A367" s="75">
        <v>23</v>
      </c>
      <c r="B367" s="39" t="s">
        <v>748</v>
      </c>
      <c r="C367" s="41" t="s">
        <v>40</v>
      </c>
      <c r="D367" s="29"/>
      <c r="E367" s="41" t="s">
        <v>500</v>
      </c>
      <c r="F367" s="41" t="s">
        <v>749</v>
      </c>
      <c r="G367" s="64">
        <f t="shared" si="124"/>
        <v>127</v>
      </c>
      <c r="H367" s="58"/>
      <c r="I367" s="58"/>
      <c r="J367" s="58"/>
      <c r="K367" s="64">
        <v>127</v>
      </c>
      <c r="L367" s="58"/>
      <c r="M367" s="19">
        <f t="shared" si="125"/>
        <v>120</v>
      </c>
      <c r="N367" s="49"/>
      <c r="O367" s="49"/>
      <c r="P367" s="49"/>
      <c r="Q367" s="49"/>
      <c r="R367" s="49"/>
      <c r="S367" s="19">
        <v>120</v>
      </c>
      <c r="T367" s="50"/>
      <c r="V367" s="6">
        <f t="shared" si="120"/>
        <v>0</v>
      </c>
    </row>
    <row r="368" spans="1:22" ht="60">
      <c r="A368" s="75">
        <v>24</v>
      </c>
      <c r="B368" s="39" t="s">
        <v>750</v>
      </c>
      <c r="C368" s="41" t="s">
        <v>40</v>
      </c>
      <c r="D368" s="29"/>
      <c r="E368" s="41" t="s">
        <v>55</v>
      </c>
      <c r="F368" s="41" t="s">
        <v>751</v>
      </c>
      <c r="G368" s="64">
        <f t="shared" si="124"/>
        <v>146</v>
      </c>
      <c r="H368" s="58"/>
      <c r="I368" s="58"/>
      <c r="J368" s="58"/>
      <c r="K368" s="64">
        <v>146</v>
      </c>
      <c r="L368" s="58"/>
      <c r="M368" s="19">
        <f t="shared" si="125"/>
        <v>120</v>
      </c>
      <c r="N368" s="49"/>
      <c r="O368" s="49"/>
      <c r="P368" s="49"/>
      <c r="Q368" s="49"/>
      <c r="R368" s="49"/>
      <c r="S368" s="19">
        <v>120</v>
      </c>
      <c r="T368" s="50"/>
      <c r="V368" s="6">
        <f t="shared" si="120"/>
        <v>0</v>
      </c>
    </row>
    <row r="369" spans="1:22" ht="30">
      <c r="A369" s="75">
        <v>25</v>
      </c>
      <c r="B369" s="39" t="s">
        <v>752</v>
      </c>
      <c r="C369" s="41" t="s">
        <v>40</v>
      </c>
      <c r="D369" s="29"/>
      <c r="E369" s="41" t="s">
        <v>55</v>
      </c>
      <c r="F369" s="181" t="s">
        <v>753</v>
      </c>
      <c r="G369" s="64">
        <f t="shared" si="124"/>
        <v>302</v>
      </c>
      <c r="H369" s="58"/>
      <c r="I369" s="58"/>
      <c r="J369" s="58"/>
      <c r="K369" s="64">
        <v>302</v>
      </c>
      <c r="L369" s="58"/>
      <c r="M369" s="19">
        <f t="shared" si="125"/>
        <v>200</v>
      </c>
      <c r="N369" s="49"/>
      <c r="O369" s="49"/>
      <c r="P369" s="49"/>
      <c r="Q369" s="49"/>
      <c r="R369" s="49"/>
      <c r="S369" s="19">
        <v>200</v>
      </c>
      <c r="T369" s="50"/>
      <c r="V369" s="6">
        <f t="shared" si="120"/>
        <v>0</v>
      </c>
    </row>
    <row r="370" spans="1:22" ht="30">
      <c r="A370" s="75">
        <v>26</v>
      </c>
      <c r="B370" s="177" t="s">
        <v>754</v>
      </c>
      <c r="C370" s="41" t="s">
        <v>40</v>
      </c>
      <c r="D370" s="29"/>
      <c r="E370" s="41"/>
      <c r="F370" s="15" t="s">
        <v>755</v>
      </c>
      <c r="G370" s="64">
        <f t="shared" si="124"/>
        <v>886</v>
      </c>
      <c r="H370" s="58"/>
      <c r="I370" s="58"/>
      <c r="J370" s="58"/>
      <c r="K370" s="64">
        <v>886</v>
      </c>
      <c r="L370" s="58"/>
      <c r="M370" s="19">
        <f t="shared" si="125"/>
        <v>220</v>
      </c>
      <c r="N370" s="49"/>
      <c r="O370" s="49"/>
      <c r="P370" s="49"/>
      <c r="Q370" s="49"/>
      <c r="R370" s="49"/>
      <c r="S370" s="19">
        <v>220</v>
      </c>
      <c r="T370" s="50"/>
      <c r="V370" s="6">
        <f t="shared" si="120"/>
        <v>0</v>
      </c>
    </row>
    <row r="371" spans="1:22" ht="30">
      <c r="A371" s="75">
        <v>27</v>
      </c>
      <c r="B371" s="16" t="s">
        <v>756</v>
      </c>
      <c r="C371" s="41" t="s">
        <v>40</v>
      </c>
      <c r="D371" s="29"/>
      <c r="E371" s="41"/>
      <c r="F371" s="15" t="s">
        <v>755</v>
      </c>
      <c r="G371" s="64">
        <f t="shared" si="124"/>
        <v>884</v>
      </c>
      <c r="H371" s="58"/>
      <c r="I371" s="58"/>
      <c r="J371" s="58"/>
      <c r="K371" s="64">
        <v>884</v>
      </c>
      <c r="L371" s="58"/>
      <c r="M371" s="19">
        <f t="shared" si="125"/>
        <v>220</v>
      </c>
      <c r="N371" s="49"/>
      <c r="O371" s="49"/>
      <c r="P371" s="49"/>
      <c r="Q371" s="49"/>
      <c r="R371" s="49"/>
      <c r="S371" s="19">
        <v>220</v>
      </c>
      <c r="T371" s="50"/>
      <c r="V371" s="6">
        <f t="shared" si="120"/>
        <v>0</v>
      </c>
    </row>
    <row r="372" spans="1:22">
      <c r="A372" s="478" t="s">
        <v>69</v>
      </c>
      <c r="B372" s="47" t="s">
        <v>70</v>
      </c>
      <c r="C372" s="29"/>
      <c r="D372" s="29"/>
      <c r="E372" s="29"/>
      <c r="F372" s="58">
        <f t="shared" ref="F372:T372" si="126">F373+F381</f>
        <v>0</v>
      </c>
      <c r="G372" s="58">
        <f t="shared" si="126"/>
        <v>660312.84982500004</v>
      </c>
      <c r="H372" s="58">
        <f t="shared" si="126"/>
        <v>14730</v>
      </c>
      <c r="I372" s="58">
        <f t="shared" si="126"/>
        <v>0</v>
      </c>
      <c r="J372" s="58">
        <f t="shared" si="126"/>
        <v>0</v>
      </c>
      <c r="K372" s="58">
        <f t="shared" si="126"/>
        <v>645582.84982500004</v>
      </c>
      <c r="L372" s="58">
        <f t="shared" si="126"/>
        <v>178540</v>
      </c>
      <c r="M372" s="48">
        <f t="shared" si="126"/>
        <v>387536</v>
      </c>
      <c r="N372" s="49">
        <f t="shared" si="126"/>
        <v>0</v>
      </c>
      <c r="O372" s="49">
        <f t="shared" si="126"/>
        <v>0</v>
      </c>
      <c r="P372" s="49">
        <f t="shared" si="126"/>
        <v>0</v>
      </c>
      <c r="Q372" s="49">
        <f t="shared" si="126"/>
        <v>0</v>
      </c>
      <c r="R372" s="49">
        <f t="shared" si="126"/>
        <v>0</v>
      </c>
      <c r="S372" s="48">
        <f t="shared" si="126"/>
        <v>387536</v>
      </c>
      <c r="T372" s="50">
        <f t="shared" si="126"/>
        <v>0</v>
      </c>
      <c r="V372" s="6">
        <f t="shared" si="120"/>
        <v>0</v>
      </c>
    </row>
    <row r="373" spans="1:22" ht="28.5">
      <c r="A373" s="12" t="s">
        <v>71</v>
      </c>
      <c r="B373" s="47" t="s">
        <v>72</v>
      </c>
      <c r="C373" s="29"/>
      <c r="D373" s="29"/>
      <c r="E373" s="29"/>
      <c r="F373" s="58"/>
      <c r="G373" s="58">
        <f t="shared" ref="G373:T373" si="127">SUM(G374:G380)</f>
        <v>252903.36600000001</v>
      </c>
      <c r="H373" s="58">
        <f t="shared" si="127"/>
        <v>14730</v>
      </c>
      <c r="I373" s="58">
        <f t="shared" si="127"/>
        <v>0</v>
      </c>
      <c r="J373" s="58">
        <f t="shared" si="127"/>
        <v>0</v>
      </c>
      <c r="K373" s="58">
        <f t="shared" si="127"/>
        <v>238173.36600000001</v>
      </c>
      <c r="L373" s="58">
        <f t="shared" si="127"/>
        <v>177716</v>
      </c>
      <c r="M373" s="48">
        <f t="shared" si="127"/>
        <v>12562</v>
      </c>
      <c r="N373" s="49">
        <f t="shared" si="127"/>
        <v>0</v>
      </c>
      <c r="O373" s="49">
        <f t="shared" si="127"/>
        <v>0</v>
      </c>
      <c r="P373" s="49">
        <f t="shared" si="127"/>
        <v>0</v>
      </c>
      <c r="Q373" s="49">
        <f t="shared" si="127"/>
        <v>0</v>
      </c>
      <c r="R373" s="49">
        <f t="shared" si="127"/>
        <v>0</v>
      </c>
      <c r="S373" s="48">
        <f t="shared" si="127"/>
        <v>12562</v>
      </c>
      <c r="T373" s="50">
        <f t="shared" si="127"/>
        <v>0</v>
      </c>
      <c r="V373" s="6">
        <f t="shared" si="120"/>
        <v>0</v>
      </c>
    </row>
    <row r="374" spans="1:22" ht="30">
      <c r="A374" s="12">
        <v>1</v>
      </c>
      <c r="B374" s="92" t="s">
        <v>757</v>
      </c>
      <c r="C374" s="53" t="s">
        <v>40</v>
      </c>
      <c r="D374" s="12" t="s">
        <v>31</v>
      </c>
      <c r="E374" s="53" t="s">
        <v>80</v>
      </c>
      <c r="F374" s="53" t="s">
        <v>758</v>
      </c>
      <c r="G374" s="54">
        <f t="shared" ref="G374:G380" si="128">SUM(H374:K374)</f>
        <v>4032</v>
      </c>
      <c r="H374" s="56"/>
      <c r="I374" s="56"/>
      <c r="J374" s="56"/>
      <c r="K374" s="56">
        <v>4032</v>
      </c>
      <c r="L374" s="56">
        <v>3810</v>
      </c>
      <c r="M374" s="57">
        <f t="shared" ref="M374:M380" si="129">SUM(N374:S374)</f>
        <v>60</v>
      </c>
      <c r="N374" s="55"/>
      <c r="O374" s="55"/>
      <c r="P374" s="55"/>
      <c r="Q374" s="55"/>
      <c r="R374" s="55"/>
      <c r="S374" s="57">
        <v>60</v>
      </c>
      <c r="T374" s="37"/>
      <c r="V374" s="6">
        <f t="shared" si="120"/>
        <v>0</v>
      </c>
    </row>
    <row r="375" spans="1:22" ht="120">
      <c r="A375" s="105">
        <v>2</v>
      </c>
      <c r="B375" s="104" t="s">
        <v>759</v>
      </c>
      <c r="C375" s="53" t="s">
        <v>40</v>
      </c>
      <c r="D375" s="105" t="s">
        <v>31</v>
      </c>
      <c r="E375" s="105" t="s">
        <v>331</v>
      </c>
      <c r="F375" s="105" t="s">
        <v>760</v>
      </c>
      <c r="G375" s="54">
        <f t="shared" si="128"/>
        <v>5645.366</v>
      </c>
      <c r="H375" s="106"/>
      <c r="I375" s="106"/>
      <c r="J375" s="106"/>
      <c r="K375" s="102">
        <v>5645.366</v>
      </c>
      <c r="L375" s="102">
        <v>5259</v>
      </c>
      <c r="M375" s="57">
        <f t="shared" si="129"/>
        <v>386</v>
      </c>
      <c r="N375" s="102"/>
      <c r="O375" s="102"/>
      <c r="P375" s="102"/>
      <c r="Q375" s="102"/>
      <c r="R375" s="102"/>
      <c r="S375" s="103">
        <v>386</v>
      </c>
      <c r="T375" s="37"/>
      <c r="V375" s="6">
        <f t="shared" si="120"/>
        <v>0</v>
      </c>
    </row>
    <row r="376" spans="1:22" ht="60">
      <c r="A376" s="12">
        <v>3</v>
      </c>
      <c r="B376" s="59" t="s">
        <v>761</v>
      </c>
      <c r="C376" s="53" t="s">
        <v>40</v>
      </c>
      <c r="D376" s="53" t="s">
        <v>26</v>
      </c>
      <c r="E376" s="53" t="s">
        <v>762</v>
      </c>
      <c r="F376" s="53" t="s">
        <v>763</v>
      </c>
      <c r="G376" s="175">
        <f t="shared" si="128"/>
        <v>41165</v>
      </c>
      <c r="H376" s="175">
        <v>14730</v>
      </c>
      <c r="I376" s="175"/>
      <c r="J376" s="175"/>
      <c r="K376" s="175">
        <v>26435</v>
      </c>
      <c r="L376" s="102">
        <v>32439</v>
      </c>
      <c r="M376" s="57">
        <f t="shared" si="129"/>
        <v>6687</v>
      </c>
      <c r="N376" s="61"/>
      <c r="O376" s="61"/>
      <c r="P376" s="61"/>
      <c r="Q376" s="61"/>
      <c r="R376" s="61"/>
      <c r="S376" s="174">
        <f>5796+891</f>
        <v>6687</v>
      </c>
      <c r="T376" s="37"/>
      <c r="V376" s="6">
        <f t="shared" si="120"/>
        <v>0</v>
      </c>
    </row>
    <row r="377" spans="1:22" ht="30">
      <c r="A377" s="105">
        <v>4</v>
      </c>
      <c r="B377" s="92" t="s">
        <v>764</v>
      </c>
      <c r="C377" s="53" t="s">
        <v>46</v>
      </c>
      <c r="D377" s="12" t="s">
        <v>31</v>
      </c>
      <c r="E377" s="53" t="s">
        <v>765</v>
      </c>
      <c r="F377" s="53" t="s">
        <v>766</v>
      </c>
      <c r="G377" s="54">
        <f t="shared" si="128"/>
        <v>48931</v>
      </c>
      <c r="H377" s="56"/>
      <c r="I377" s="56"/>
      <c r="J377" s="56"/>
      <c r="K377" s="56">
        <v>48931</v>
      </c>
      <c r="L377" s="56">
        <v>42202</v>
      </c>
      <c r="M377" s="57">
        <f t="shared" si="129"/>
        <v>1764</v>
      </c>
      <c r="N377" s="55"/>
      <c r="O377" s="55"/>
      <c r="P377" s="55"/>
      <c r="Q377" s="55"/>
      <c r="R377" s="55"/>
      <c r="S377" s="57">
        <v>1764</v>
      </c>
      <c r="T377" s="37"/>
      <c r="V377" s="6">
        <f t="shared" si="120"/>
        <v>0</v>
      </c>
    </row>
    <row r="378" spans="1:22" ht="30">
      <c r="A378" s="12">
        <v>5</v>
      </c>
      <c r="B378" s="59" t="s">
        <v>767</v>
      </c>
      <c r="C378" s="53" t="s">
        <v>67</v>
      </c>
      <c r="D378" s="53" t="s">
        <v>31</v>
      </c>
      <c r="E378" s="53" t="s">
        <v>80</v>
      </c>
      <c r="F378" s="53" t="s">
        <v>768</v>
      </c>
      <c r="G378" s="54">
        <f t="shared" si="128"/>
        <v>2252</v>
      </c>
      <c r="H378" s="54"/>
      <c r="I378" s="54"/>
      <c r="J378" s="54"/>
      <c r="K378" s="54">
        <v>2252</v>
      </c>
      <c r="L378" s="54">
        <v>1599</v>
      </c>
      <c r="M378" s="57">
        <f t="shared" si="129"/>
        <v>35</v>
      </c>
      <c r="N378" s="61"/>
      <c r="O378" s="61"/>
      <c r="P378" s="61"/>
      <c r="Q378" s="61"/>
      <c r="R378" s="61"/>
      <c r="S378" s="68">
        <v>35</v>
      </c>
      <c r="T378" s="37"/>
      <c r="V378" s="6">
        <f t="shared" si="120"/>
        <v>0</v>
      </c>
    </row>
    <row r="379" spans="1:22" ht="30">
      <c r="A379" s="12">
        <v>6</v>
      </c>
      <c r="B379" s="72" t="s">
        <v>769</v>
      </c>
      <c r="C379" s="53" t="s">
        <v>40</v>
      </c>
      <c r="D379" s="40" t="s">
        <v>31</v>
      </c>
      <c r="E379" s="53">
        <v>2017</v>
      </c>
      <c r="F379" s="53" t="s">
        <v>770</v>
      </c>
      <c r="G379" s="54">
        <f t="shared" si="128"/>
        <v>755</v>
      </c>
      <c r="H379" s="54"/>
      <c r="I379" s="54"/>
      <c r="J379" s="54"/>
      <c r="K379" s="93">
        <v>755</v>
      </c>
      <c r="L379" s="54">
        <v>747</v>
      </c>
      <c r="M379" s="57">
        <f t="shared" si="129"/>
        <v>30</v>
      </c>
      <c r="N379" s="61"/>
      <c r="O379" s="61"/>
      <c r="P379" s="61"/>
      <c r="Q379" s="61"/>
      <c r="R379" s="61"/>
      <c r="S379" s="68">
        <v>30</v>
      </c>
      <c r="T379" s="94" t="s">
        <v>212</v>
      </c>
      <c r="V379" s="6">
        <f t="shared" si="120"/>
        <v>0</v>
      </c>
    </row>
    <row r="380" spans="1:22" ht="45">
      <c r="A380" s="105">
        <v>10</v>
      </c>
      <c r="B380" s="92" t="s">
        <v>771</v>
      </c>
      <c r="C380" s="53" t="s">
        <v>92</v>
      </c>
      <c r="D380" s="12" t="s">
        <v>26</v>
      </c>
      <c r="E380" s="53" t="s">
        <v>331</v>
      </c>
      <c r="F380" s="53" t="s">
        <v>772</v>
      </c>
      <c r="G380" s="54">
        <f t="shared" si="128"/>
        <v>150123</v>
      </c>
      <c r="H380" s="56"/>
      <c r="I380" s="56"/>
      <c r="J380" s="56"/>
      <c r="K380" s="56">
        <v>150123</v>
      </c>
      <c r="L380" s="56">
        <v>91660</v>
      </c>
      <c r="M380" s="57">
        <f t="shared" si="129"/>
        <v>3600</v>
      </c>
      <c r="N380" s="55"/>
      <c r="O380" s="55"/>
      <c r="P380" s="55"/>
      <c r="Q380" s="55"/>
      <c r="R380" s="55"/>
      <c r="S380" s="57">
        <v>3600</v>
      </c>
      <c r="T380" s="37"/>
      <c r="V380" s="6">
        <f t="shared" si="120"/>
        <v>0</v>
      </c>
    </row>
    <row r="381" spans="1:22" s="2" customFormat="1">
      <c r="A381" s="46" t="s">
        <v>102</v>
      </c>
      <c r="B381" s="47" t="s">
        <v>103</v>
      </c>
      <c r="C381" s="29"/>
      <c r="D381" s="29"/>
      <c r="E381" s="29"/>
      <c r="F381" s="132">
        <f t="shared" ref="F381" si="130">SUM(F382:F408)</f>
        <v>0</v>
      </c>
      <c r="G381" s="132">
        <f t="shared" ref="G381:T381" si="131">SUM(G382:G410)</f>
        <v>407409.483825</v>
      </c>
      <c r="H381" s="132">
        <f t="shared" si="131"/>
        <v>0</v>
      </c>
      <c r="I381" s="132">
        <f t="shared" si="131"/>
        <v>0</v>
      </c>
      <c r="J381" s="132">
        <f t="shared" si="131"/>
        <v>0</v>
      </c>
      <c r="K381" s="132">
        <f t="shared" si="131"/>
        <v>407409.483825</v>
      </c>
      <c r="L381" s="132">
        <f t="shared" si="131"/>
        <v>824</v>
      </c>
      <c r="M381" s="132">
        <f t="shared" si="131"/>
        <v>374974</v>
      </c>
      <c r="N381" s="182">
        <f t="shared" si="131"/>
        <v>0</v>
      </c>
      <c r="O381" s="182">
        <f t="shared" si="131"/>
        <v>0</v>
      </c>
      <c r="P381" s="182">
        <f t="shared" si="131"/>
        <v>0</v>
      </c>
      <c r="Q381" s="182">
        <f t="shared" si="131"/>
        <v>0</v>
      </c>
      <c r="R381" s="182">
        <f t="shared" si="131"/>
        <v>0</v>
      </c>
      <c r="S381" s="132">
        <f t="shared" si="131"/>
        <v>374974</v>
      </c>
      <c r="T381" s="183">
        <f t="shared" si="131"/>
        <v>0</v>
      </c>
      <c r="V381" s="6">
        <f t="shared" si="120"/>
        <v>0</v>
      </c>
    </row>
    <row r="382" spans="1:22" ht="30">
      <c r="A382" s="40">
        <v>1</v>
      </c>
      <c r="B382" s="72" t="s">
        <v>773</v>
      </c>
      <c r="C382" s="184" t="s">
        <v>40</v>
      </c>
      <c r="D382" s="32" t="s">
        <v>26</v>
      </c>
      <c r="E382" s="32" t="s">
        <v>109</v>
      </c>
      <c r="F382" s="73" t="s">
        <v>774</v>
      </c>
      <c r="G382" s="54">
        <f>SUM(H382:K382)</f>
        <v>49182</v>
      </c>
      <c r="H382" s="185"/>
      <c r="I382" s="185"/>
      <c r="J382" s="109"/>
      <c r="K382" s="109">
        <v>49182</v>
      </c>
      <c r="L382" s="109">
        <v>300</v>
      </c>
      <c r="M382" s="57">
        <f t="shared" ref="M382:M410" si="132">SUM(N382:S382)</f>
        <v>48882</v>
      </c>
      <c r="N382" s="66"/>
      <c r="O382" s="66"/>
      <c r="P382" s="66"/>
      <c r="Q382" s="66"/>
      <c r="R382" s="66"/>
      <c r="S382" s="67">
        <v>48882</v>
      </c>
      <c r="T382" s="37"/>
      <c r="V382" s="6">
        <f t="shared" si="120"/>
        <v>0</v>
      </c>
    </row>
    <row r="383" spans="1:22" ht="30">
      <c r="A383" s="40">
        <v>2</v>
      </c>
      <c r="B383" s="72" t="s">
        <v>706</v>
      </c>
      <c r="C383" s="32" t="s">
        <v>40</v>
      </c>
      <c r="D383" s="32" t="s">
        <v>31</v>
      </c>
      <c r="E383" s="32" t="s">
        <v>109</v>
      </c>
      <c r="F383" s="73" t="s">
        <v>775</v>
      </c>
      <c r="G383" s="54">
        <f t="shared" ref="G383:G410" si="133">SUM(H383:K383)</f>
        <v>1379</v>
      </c>
      <c r="H383" s="185"/>
      <c r="I383" s="185"/>
      <c r="J383" s="109"/>
      <c r="K383" s="109">
        <v>1379</v>
      </c>
      <c r="L383" s="109"/>
      <c r="M383" s="57">
        <f t="shared" si="132"/>
        <v>1116</v>
      </c>
      <c r="N383" s="66"/>
      <c r="O383" s="66"/>
      <c r="P383" s="66"/>
      <c r="Q383" s="66"/>
      <c r="R383" s="66"/>
      <c r="S383" s="111">
        <f>1329-213</f>
        <v>1116</v>
      </c>
      <c r="T383" s="37"/>
      <c r="V383" s="6">
        <f t="shared" si="120"/>
        <v>0</v>
      </c>
    </row>
    <row r="384" spans="1:22" ht="30">
      <c r="A384" s="40">
        <v>3</v>
      </c>
      <c r="B384" s="72" t="s">
        <v>776</v>
      </c>
      <c r="C384" s="32" t="s">
        <v>40</v>
      </c>
      <c r="D384" s="32" t="s">
        <v>31</v>
      </c>
      <c r="E384" s="32" t="s">
        <v>109</v>
      </c>
      <c r="F384" s="120" t="s">
        <v>777</v>
      </c>
      <c r="G384" s="54">
        <f t="shared" si="133"/>
        <v>7356</v>
      </c>
      <c r="H384" s="112"/>
      <c r="I384" s="112"/>
      <c r="J384" s="111"/>
      <c r="K384" s="121">
        <v>7356</v>
      </c>
      <c r="L384" s="109"/>
      <c r="M384" s="57">
        <f t="shared" si="132"/>
        <v>6393</v>
      </c>
      <c r="N384" s="66"/>
      <c r="O384" s="66"/>
      <c r="P384" s="66"/>
      <c r="Q384" s="66"/>
      <c r="R384" s="186"/>
      <c r="S384" s="111">
        <f>7007-614</f>
        <v>6393</v>
      </c>
      <c r="T384" s="37"/>
      <c r="V384" s="6">
        <f t="shared" si="120"/>
        <v>0</v>
      </c>
    </row>
    <row r="385" spans="1:22" s="188" customFormat="1" ht="45">
      <c r="A385" s="40">
        <v>4</v>
      </c>
      <c r="B385" s="59" t="s">
        <v>778</v>
      </c>
      <c r="C385" s="53" t="s">
        <v>92</v>
      </c>
      <c r="D385" s="53" t="s">
        <v>31</v>
      </c>
      <c r="E385" s="53" t="s">
        <v>283</v>
      </c>
      <c r="F385" s="53" t="s">
        <v>779</v>
      </c>
      <c r="G385" s="54">
        <f t="shared" si="133"/>
        <v>1128.2</v>
      </c>
      <c r="H385" s="54"/>
      <c r="I385" s="54"/>
      <c r="J385" s="54"/>
      <c r="K385" s="54">
        <v>1128.2</v>
      </c>
      <c r="L385" s="54"/>
      <c r="M385" s="57">
        <f t="shared" si="132"/>
        <v>1288</v>
      </c>
      <c r="N385" s="61"/>
      <c r="O385" s="61"/>
      <c r="P385" s="61"/>
      <c r="Q385" s="61"/>
      <c r="R385" s="61"/>
      <c r="S385" s="57">
        <v>1288</v>
      </c>
      <c r="T385" s="187"/>
      <c r="V385" s="6">
        <f t="shared" si="120"/>
        <v>0</v>
      </c>
    </row>
    <row r="386" spans="1:22" s="188" customFormat="1" ht="30">
      <c r="A386" s="40">
        <v>5</v>
      </c>
      <c r="B386" s="59" t="s">
        <v>780</v>
      </c>
      <c r="C386" s="53" t="s">
        <v>40</v>
      </c>
      <c r="D386" s="53" t="s">
        <v>31</v>
      </c>
      <c r="E386" s="53" t="s">
        <v>283</v>
      </c>
      <c r="F386" s="53" t="s">
        <v>781</v>
      </c>
      <c r="G386" s="54">
        <f t="shared" si="133"/>
        <v>2988</v>
      </c>
      <c r="H386" s="54"/>
      <c r="I386" s="54"/>
      <c r="J386" s="54"/>
      <c r="K386" s="54">
        <v>2988</v>
      </c>
      <c r="L386" s="54">
        <v>120</v>
      </c>
      <c r="M386" s="57">
        <f>SUM(N386:S386)</f>
        <v>2880</v>
      </c>
      <c r="N386" s="61"/>
      <c r="O386" s="61"/>
      <c r="P386" s="61"/>
      <c r="Q386" s="61"/>
      <c r="R386" s="61"/>
      <c r="S386" s="67">
        <v>2880</v>
      </c>
      <c r="T386" s="187"/>
      <c r="V386" s="6">
        <f t="shared" si="120"/>
        <v>0</v>
      </c>
    </row>
    <row r="387" spans="1:22" s="188" customFormat="1" ht="30">
      <c r="A387" s="40">
        <v>6</v>
      </c>
      <c r="B387" s="59" t="s">
        <v>782</v>
      </c>
      <c r="C387" s="53" t="s">
        <v>40</v>
      </c>
      <c r="D387" s="53" t="s">
        <v>31</v>
      </c>
      <c r="E387" s="53" t="s">
        <v>283</v>
      </c>
      <c r="F387" s="53" t="s">
        <v>783</v>
      </c>
      <c r="G387" s="54">
        <f t="shared" si="133"/>
        <v>1293</v>
      </c>
      <c r="H387" s="54"/>
      <c r="I387" s="54"/>
      <c r="J387" s="54"/>
      <c r="K387" s="54">
        <v>1293</v>
      </c>
      <c r="L387" s="54">
        <v>45</v>
      </c>
      <c r="M387" s="57">
        <f>SUM(N387:S387)</f>
        <v>909</v>
      </c>
      <c r="N387" s="61"/>
      <c r="O387" s="61"/>
      <c r="P387" s="61"/>
      <c r="Q387" s="61"/>
      <c r="R387" s="61"/>
      <c r="S387" s="67">
        <f>1278-369</f>
        <v>909</v>
      </c>
      <c r="T387" s="187"/>
      <c r="V387" s="6">
        <f t="shared" si="120"/>
        <v>0</v>
      </c>
    </row>
    <row r="388" spans="1:22" ht="45">
      <c r="A388" s="40">
        <v>7</v>
      </c>
      <c r="B388" s="72" t="s">
        <v>784</v>
      </c>
      <c r="C388" s="53" t="s">
        <v>40</v>
      </c>
      <c r="D388" s="32" t="s">
        <v>31</v>
      </c>
      <c r="E388" s="32" t="s">
        <v>283</v>
      </c>
      <c r="F388" s="497" t="s">
        <v>785</v>
      </c>
      <c r="G388" s="54">
        <f t="shared" si="133"/>
        <v>876</v>
      </c>
      <c r="H388" s="185"/>
      <c r="I388" s="185"/>
      <c r="J388" s="109"/>
      <c r="K388" s="498">
        <v>876</v>
      </c>
      <c r="L388" s="109"/>
      <c r="M388" s="57">
        <f t="shared" si="132"/>
        <v>1140</v>
      </c>
      <c r="N388" s="66"/>
      <c r="O388" s="66"/>
      <c r="P388" s="66"/>
      <c r="Q388" s="66"/>
      <c r="R388" s="186"/>
      <c r="S388" s="111">
        <v>1140</v>
      </c>
      <c r="T388" s="37"/>
      <c r="V388" s="6">
        <f t="shared" si="120"/>
        <v>0</v>
      </c>
    </row>
    <row r="389" spans="1:22" ht="45">
      <c r="A389" s="40">
        <v>8</v>
      </c>
      <c r="B389" s="72" t="s">
        <v>723</v>
      </c>
      <c r="C389" s="53" t="s">
        <v>40</v>
      </c>
      <c r="D389" s="32" t="s">
        <v>31</v>
      </c>
      <c r="E389" s="32" t="s">
        <v>283</v>
      </c>
      <c r="F389" s="73" t="s">
        <v>786</v>
      </c>
      <c r="G389" s="54">
        <f t="shared" si="133"/>
        <v>4961</v>
      </c>
      <c r="H389" s="185"/>
      <c r="I389" s="185"/>
      <c r="J389" s="109"/>
      <c r="K389" s="498">
        <v>4961</v>
      </c>
      <c r="L389" s="109"/>
      <c r="M389" s="57">
        <f t="shared" si="132"/>
        <v>4789</v>
      </c>
      <c r="N389" s="66"/>
      <c r="O389" s="66"/>
      <c r="P389" s="66"/>
      <c r="Q389" s="66"/>
      <c r="R389" s="186"/>
      <c r="S389" s="174">
        <v>4789</v>
      </c>
      <c r="T389" s="37"/>
      <c r="V389" s="6">
        <f t="shared" si="120"/>
        <v>0</v>
      </c>
    </row>
    <row r="390" spans="1:22" ht="45">
      <c r="A390" s="40">
        <v>9</v>
      </c>
      <c r="B390" s="96" t="s">
        <v>787</v>
      </c>
      <c r="C390" s="53" t="s">
        <v>40</v>
      </c>
      <c r="D390" s="32" t="s">
        <v>31</v>
      </c>
      <c r="E390" s="32" t="s">
        <v>283</v>
      </c>
      <c r="F390" s="120" t="s">
        <v>788</v>
      </c>
      <c r="G390" s="54">
        <f t="shared" si="133"/>
        <v>14986</v>
      </c>
      <c r="H390" s="185"/>
      <c r="I390" s="185"/>
      <c r="J390" s="109"/>
      <c r="K390" s="121">
        <v>14986</v>
      </c>
      <c r="L390" s="109"/>
      <c r="M390" s="57">
        <f t="shared" si="132"/>
        <v>14134</v>
      </c>
      <c r="N390" s="66"/>
      <c r="O390" s="66"/>
      <c r="P390" s="66"/>
      <c r="Q390" s="66"/>
      <c r="R390" s="186"/>
      <c r="S390" s="174">
        <f>14396-262</f>
        <v>14134</v>
      </c>
      <c r="T390" s="37"/>
      <c r="V390" s="6">
        <f t="shared" si="120"/>
        <v>0</v>
      </c>
    </row>
    <row r="391" spans="1:22" ht="30">
      <c r="A391" s="40">
        <v>10</v>
      </c>
      <c r="B391" s="96" t="s">
        <v>789</v>
      </c>
      <c r="C391" s="53" t="s">
        <v>58</v>
      </c>
      <c r="D391" s="32" t="s">
        <v>31</v>
      </c>
      <c r="E391" s="32" t="s">
        <v>109</v>
      </c>
      <c r="F391" s="73" t="s">
        <v>790</v>
      </c>
      <c r="G391" s="54">
        <f t="shared" si="133"/>
        <v>14267</v>
      </c>
      <c r="H391" s="185"/>
      <c r="I391" s="185"/>
      <c r="J391" s="109"/>
      <c r="K391" s="109">
        <v>14267</v>
      </c>
      <c r="L391" s="109">
        <v>57</v>
      </c>
      <c r="M391" s="57">
        <f t="shared" si="132"/>
        <v>14766</v>
      </c>
      <c r="N391" s="66"/>
      <c r="O391" s="66"/>
      <c r="P391" s="66"/>
      <c r="Q391" s="66"/>
      <c r="R391" s="186"/>
      <c r="S391" s="174">
        <v>14766</v>
      </c>
      <c r="T391" s="37"/>
      <c r="V391" s="6">
        <f t="shared" si="120"/>
        <v>0</v>
      </c>
    </row>
    <row r="392" spans="1:22">
      <c r="A392" s="40">
        <v>11</v>
      </c>
      <c r="B392" s="72" t="s">
        <v>791</v>
      </c>
      <c r="C392" s="53" t="s">
        <v>40</v>
      </c>
      <c r="D392" s="40" t="s">
        <v>31</v>
      </c>
      <c r="E392" s="53" t="s">
        <v>283</v>
      </c>
      <c r="F392" s="73"/>
      <c r="G392" s="54">
        <f t="shared" si="133"/>
        <v>0</v>
      </c>
      <c r="H392" s="185"/>
      <c r="I392" s="185"/>
      <c r="J392" s="109"/>
      <c r="K392" s="109"/>
      <c r="L392" s="109"/>
      <c r="M392" s="57">
        <f t="shared" si="132"/>
        <v>1849</v>
      </c>
      <c r="N392" s="66"/>
      <c r="O392" s="66"/>
      <c r="P392" s="66"/>
      <c r="Q392" s="66"/>
      <c r="R392" s="186"/>
      <c r="S392" s="122">
        <v>1849</v>
      </c>
      <c r="T392" s="37"/>
      <c r="V392" s="6">
        <f t="shared" si="120"/>
        <v>0</v>
      </c>
    </row>
    <row r="393" spans="1:22" ht="30">
      <c r="A393" s="40">
        <v>12</v>
      </c>
      <c r="B393" s="72" t="s">
        <v>792</v>
      </c>
      <c r="C393" s="53" t="s">
        <v>40</v>
      </c>
      <c r="D393" s="40" t="s">
        <v>31</v>
      </c>
      <c r="E393" s="53" t="s">
        <v>283</v>
      </c>
      <c r="F393" s="120" t="s">
        <v>793</v>
      </c>
      <c r="G393" s="54">
        <f t="shared" si="133"/>
        <v>3414</v>
      </c>
      <c r="H393" s="58"/>
      <c r="I393" s="58"/>
      <c r="J393" s="58"/>
      <c r="K393" s="121">
        <v>3414</v>
      </c>
      <c r="L393" s="109"/>
      <c r="M393" s="57">
        <f t="shared" si="132"/>
        <v>3316</v>
      </c>
      <c r="N393" s="66"/>
      <c r="O393" s="66"/>
      <c r="P393" s="66"/>
      <c r="Q393" s="66"/>
      <c r="R393" s="186"/>
      <c r="S393" s="122">
        <v>3316</v>
      </c>
      <c r="T393" s="37"/>
      <c r="V393" s="6">
        <f t="shared" si="120"/>
        <v>0</v>
      </c>
    </row>
    <row r="394" spans="1:22" ht="30">
      <c r="A394" s="40">
        <v>13</v>
      </c>
      <c r="B394" s="72" t="s">
        <v>738</v>
      </c>
      <c r="C394" s="53" t="s">
        <v>40</v>
      </c>
      <c r="D394" s="40" t="s">
        <v>31</v>
      </c>
      <c r="E394" s="53" t="s">
        <v>283</v>
      </c>
      <c r="F394" s="53" t="s">
        <v>794</v>
      </c>
      <c r="G394" s="54">
        <f t="shared" si="133"/>
        <v>945</v>
      </c>
      <c r="H394" s="185"/>
      <c r="I394" s="185"/>
      <c r="J394" s="109"/>
      <c r="K394" s="93">
        <v>945</v>
      </c>
      <c r="L394" s="109"/>
      <c r="M394" s="57">
        <f t="shared" si="132"/>
        <v>880</v>
      </c>
      <c r="N394" s="66"/>
      <c r="O394" s="66"/>
      <c r="P394" s="66"/>
      <c r="Q394" s="66"/>
      <c r="R394" s="186"/>
      <c r="S394" s="122">
        <v>880</v>
      </c>
      <c r="T394" s="37"/>
      <c r="V394" s="6">
        <f t="shared" si="120"/>
        <v>0</v>
      </c>
    </row>
    <row r="395" spans="1:22" ht="30">
      <c r="A395" s="40">
        <v>14</v>
      </c>
      <c r="B395" s="72" t="s">
        <v>795</v>
      </c>
      <c r="C395" s="53" t="s">
        <v>40</v>
      </c>
      <c r="D395" s="40" t="s">
        <v>31</v>
      </c>
      <c r="E395" s="53" t="s">
        <v>283</v>
      </c>
      <c r="F395" s="151" t="s">
        <v>796</v>
      </c>
      <c r="G395" s="54">
        <f t="shared" si="133"/>
        <v>2347</v>
      </c>
      <c r="H395" s="499"/>
      <c r="I395" s="499"/>
      <c r="J395" s="499"/>
      <c r="K395" s="121">
        <v>2347</v>
      </c>
      <c r="L395" s="109"/>
      <c r="M395" s="57">
        <f t="shared" si="132"/>
        <v>2227</v>
      </c>
      <c r="N395" s="66"/>
      <c r="O395" s="66"/>
      <c r="P395" s="66"/>
      <c r="Q395" s="66"/>
      <c r="R395" s="186"/>
      <c r="S395" s="122">
        <f>2502-120-155</f>
        <v>2227</v>
      </c>
      <c r="T395" s="37"/>
      <c r="V395" s="6">
        <f t="shared" si="120"/>
        <v>0</v>
      </c>
    </row>
    <row r="396" spans="1:22" ht="58.5" customHeight="1">
      <c r="A396" s="40">
        <v>15</v>
      </c>
      <c r="B396" s="72" t="s">
        <v>797</v>
      </c>
      <c r="C396" s="53" t="s">
        <v>40</v>
      </c>
      <c r="D396" s="40" t="s">
        <v>26</v>
      </c>
      <c r="E396" s="53" t="s">
        <v>115</v>
      </c>
      <c r="F396" s="53" t="s">
        <v>798</v>
      </c>
      <c r="G396" s="54">
        <f t="shared" si="133"/>
        <v>196763</v>
      </c>
      <c r="H396" s="112"/>
      <c r="I396" s="112"/>
      <c r="J396" s="111"/>
      <c r="K396" s="122">
        <v>196763</v>
      </c>
      <c r="L396" s="109"/>
      <c r="M396" s="57">
        <f t="shared" si="132"/>
        <v>166522</v>
      </c>
      <c r="N396" s="66"/>
      <c r="O396" s="66"/>
      <c r="P396" s="66"/>
      <c r="Q396" s="66"/>
      <c r="R396" s="186"/>
      <c r="S396" s="122">
        <v>166522</v>
      </c>
      <c r="T396" s="37"/>
      <c r="V396" s="6">
        <f t="shared" si="120"/>
        <v>0</v>
      </c>
    </row>
    <row r="397" spans="1:22" ht="30">
      <c r="A397" s="40">
        <v>16</v>
      </c>
      <c r="B397" s="72" t="s">
        <v>799</v>
      </c>
      <c r="C397" s="53" t="s">
        <v>40</v>
      </c>
      <c r="D397" s="40" t="s">
        <v>31</v>
      </c>
      <c r="E397" s="53" t="s">
        <v>283</v>
      </c>
      <c r="F397" s="53" t="s">
        <v>800</v>
      </c>
      <c r="G397" s="152">
        <f t="shared" si="133"/>
        <v>4232</v>
      </c>
      <c r="H397" s="54"/>
      <c r="I397" s="54"/>
      <c r="J397" s="54"/>
      <c r="K397" s="152">
        <v>4232</v>
      </c>
      <c r="L397" s="109"/>
      <c r="M397" s="57">
        <f t="shared" si="132"/>
        <v>4521</v>
      </c>
      <c r="N397" s="66"/>
      <c r="O397" s="66"/>
      <c r="P397" s="66"/>
      <c r="Q397" s="66"/>
      <c r="R397" s="186"/>
      <c r="S397" s="122">
        <f>4701-180</f>
        <v>4521</v>
      </c>
      <c r="T397" s="37"/>
      <c r="V397" s="6">
        <f t="shared" si="120"/>
        <v>0</v>
      </c>
    </row>
    <row r="398" spans="1:22" ht="30">
      <c r="A398" s="40">
        <v>17</v>
      </c>
      <c r="B398" s="59" t="s">
        <v>742</v>
      </c>
      <c r="C398" s="53" t="s">
        <v>40</v>
      </c>
      <c r="D398" s="53" t="s">
        <v>31</v>
      </c>
      <c r="E398" s="53" t="s">
        <v>283</v>
      </c>
      <c r="F398" s="151" t="s">
        <v>801</v>
      </c>
      <c r="G398" s="152">
        <f t="shared" si="133"/>
        <v>1754</v>
      </c>
      <c r="H398" s="54"/>
      <c r="I398" s="54"/>
      <c r="J398" s="54"/>
      <c r="K398" s="152">
        <v>1754</v>
      </c>
      <c r="L398" s="109"/>
      <c r="M398" s="57">
        <f t="shared" si="132"/>
        <v>1655</v>
      </c>
      <c r="N398" s="66"/>
      <c r="O398" s="66"/>
      <c r="P398" s="66"/>
      <c r="Q398" s="66"/>
      <c r="R398" s="186"/>
      <c r="S398" s="122">
        <v>1655</v>
      </c>
      <c r="T398" s="37"/>
      <c r="V398" s="6">
        <f t="shared" si="120"/>
        <v>0</v>
      </c>
    </row>
    <row r="399" spans="1:22" ht="45">
      <c r="A399" s="40">
        <v>18</v>
      </c>
      <c r="B399" s="96" t="s">
        <v>734</v>
      </c>
      <c r="C399" s="53" t="s">
        <v>40</v>
      </c>
      <c r="D399" s="53" t="s">
        <v>31</v>
      </c>
      <c r="E399" s="53" t="s">
        <v>283</v>
      </c>
      <c r="F399" s="73" t="s">
        <v>802</v>
      </c>
      <c r="G399" s="152">
        <f t="shared" si="133"/>
        <v>2788</v>
      </c>
      <c r="H399" s="54"/>
      <c r="I399" s="54"/>
      <c r="J399" s="54"/>
      <c r="K399" s="152">
        <v>2788</v>
      </c>
      <c r="L399" s="109"/>
      <c r="M399" s="57">
        <f t="shared" si="132"/>
        <v>2740</v>
      </c>
      <c r="N399" s="66"/>
      <c r="O399" s="66"/>
      <c r="P399" s="66"/>
      <c r="Q399" s="66"/>
      <c r="R399" s="186"/>
      <c r="S399" s="67">
        <v>2740</v>
      </c>
      <c r="T399" s="37"/>
      <c r="V399" s="6">
        <f t="shared" si="120"/>
        <v>0</v>
      </c>
    </row>
    <row r="400" spans="1:22" ht="30">
      <c r="A400" s="40">
        <v>19</v>
      </c>
      <c r="B400" s="96" t="s">
        <v>803</v>
      </c>
      <c r="C400" s="53" t="s">
        <v>40</v>
      </c>
      <c r="D400" s="53" t="s">
        <v>31</v>
      </c>
      <c r="E400" s="53" t="s">
        <v>283</v>
      </c>
      <c r="F400" s="151" t="s">
        <v>804</v>
      </c>
      <c r="G400" s="152">
        <v>1490</v>
      </c>
      <c r="H400" s="54"/>
      <c r="I400" s="54"/>
      <c r="J400" s="54"/>
      <c r="K400" s="152">
        <v>1490</v>
      </c>
      <c r="L400" s="109"/>
      <c r="M400" s="57">
        <f t="shared" si="132"/>
        <v>1414</v>
      </c>
      <c r="N400" s="66"/>
      <c r="O400" s="66"/>
      <c r="P400" s="66"/>
      <c r="Q400" s="66"/>
      <c r="R400" s="186"/>
      <c r="S400" s="67">
        <v>1414</v>
      </c>
      <c r="T400" s="37"/>
      <c r="V400" s="6">
        <f t="shared" si="120"/>
        <v>0</v>
      </c>
    </row>
    <row r="401" spans="1:22" ht="30">
      <c r="A401" s="40">
        <v>20</v>
      </c>
      <c r="B401" s="96" t="s">
        <v>740</v>
      </c>
      <c r="C401" s="53" t="s">
        <v>40</v>
      </c>
      <c r="D401" s="40" t="s">
        <v>31</v>
      </c>
      <c r="E401" s="53" t="s">
        <v>283</v>
      </c>
      <c r="F401" s="53" t="s">
        <v>805</v>
      </c>
      <c r="G401" s="152">
        <f t="shared" si="133"/>
        <v>2018</v>
      </c>
      <c r="H401" s="54"/>
      <c r="I401" s="54"/>
      <c r="J401" s="54"/>
      <c r="K401" s="152">
        <v>2018</v>
      </c>
      <c r="L401" s="109"/>
      <c r="M401" s="57">
        <f t="shared" si="132"/>
        <v>1643</v>
      </c>
      <c r="N401" s="66"/>
      <c r="O401" s="66"/>
      <c r="P401" s="66"/>
      <c r="Q401" s="66"/>
      <c r="R401" s="186"/>
      <c r="S401" s="122">
        <f>1905-262</f>
        <v>1643</v>
      </c>
      <c r="T401" s="37"/>
      <c r="V401" s="6">
        <f t="shared" si="120"/>
        <v>0</v>
      </c>
    </row>
    <row r="402" spans="1:22" ht="30">
      <c r="A402" s="40">
        <v>21</v>
      </c>
      <c r="B402" s="96" t="s">
        <v>746</v>
      </c>
      <c r="C402" s="53" t="s">
        <v>40</v>
      </c>
      <c r="D402" s="15" t="s">
        <v>31</v>
      </c>
      <c r="E402" s="15" t="s">
        <v>166</v>
      </c>
      <c r="F402" s="15" t="s">
        <v>806</v>
      </c>
      <c r="G402" s="152">
        <f t="shared" si="133"/>
        <v>3045</v>
      </c>
      <c r="H402" s="54"/>
      <c r="I402" s="54"/>
      <c r="J402" s="54"/>
      <c r="K402" s="189">
        <v>3045</v>
      </c>
      <c r="L402" s="109"/>
      <c r="M402" s="57">
        <f t="shared" si="132"/>
        <v>3041</v>
      </c>
      <c r="N402" s="66"/>
      <c r="O402" s="66"/>
      <c r="P402" s="66"/>
      <c r="Q402" s="66"/>
      <c r="R402" s="186"/>
      <c r="S402" s="111">
        <v>3041</v>
      </c>
      <c r="T402" s="37"/>
      <c r="V402" s="6">
        <f t="shared" si="120"/>
        <v>0</v>
      </c>
    </row>
    <row r="403" spans="1:22" ht="45">
      <c r="A403" s="40">
        <v>22</v>
      </c>
      <c r="B403" s="190" t="s">
        <v>717</v>
      </c>
      <c r="C403" s="15" t="s">
        <v>40</v>
      </c>
      <c r="D403" s="40" t="s">
        <v>31</v>
      </c>
      <c r="E403" s="38" t="s">
        <v>283</v>
      </c>
      <c r="F403" s="40" t="s">
        <v>807</v>
      </c>
      <c r="G403" s="152">
        <v>3903</v>
      </c>
      <c r="H403" s="58"/>
      <c r="I403" s="58"/>
      <c r="J403" s="58"/>
      <c r="K403" s="152">
        <v>3903</v>
      </c>
      <c r="L403" s="109"/>
      <c r="M403" s="57">
        <f t="shared" si="132"/>
        <v>3783</v>
      </c>
      <c r="N403" s="66"/>
      <c r="O403" s="66"/>
      <c r="P403" s="66"/>
      <c r="Q403" s="66"/>
      <c r="R403" s="186"/>
      <c r="S403" s="35">
        <v>3783</v>
      </c>
      <c r="T403" s="37"/>
      <c r="V403" s="6">
        <f t="shared" si="120"/>
        <v>0</v>
      </c>
    </row>
    <row r="404" spans="1:22" ht="30">
      <c r="A404" s="40">
        <v>23</v>
      </c>
      <c r="B404" s="72" t="s">
        <v>715</v>
      </c>
      <c r="C404" s="32" t="s">
        <v>58</v>
      </c>
      <c r="D404" s="32" t="s">
        <v>31</v>
      </c>
      <c r="E404" s="32" t="s">
        <v>283</v>
      </c>
      <c r="F404" s="151" t="s">
        <v>808</v>
      </c>
      <c r="G404" s="152">
        <v>4951</v>
      </c>
      <c r="H404" s="112"/>
      <c r="I404" s="112"/>
      <c r="J404" s="111"/>
      <c r="K404" s="152">
        <v>4951</v>
      </c>
      <c r="L404" s="109"/>
      <c r="M404" s="57">
        <f>SUM(N404:S404)</f>
        <v>4751</v>
      </c>
      <c r="N404" s="66"/>
      <c r="O404" s="66"/>
      <c r="P404" s="66"/>
      <c r="Q404" s="66"/>
      <c r="R404" s="186"/>
      <c r="S404" s="111">
        <v>4751</v>
      </c>
      <c r="T404" s="37"/>
      <c r="V404" s="6">
        <f t="shared" ref="V404:V467" si="134">G404-H404-I404-J404-K404</f>
        <v>0</v>
      </c>
    </row>
    <row r="405" spans="1:22" ht="45">
      <c r="A405" s="40">
        <v>24</v>
      </c>
      <c r="B405" s="59" t="s">
        <v>809</v>
      </c>
      <c r="C405" s="53" t="s">
        <v>40</v>
      </c>
      <c r="D405" s="53" t="s">
        <v>31</v>
      </c>
      <c r="E405" s="53" t="s">
        <v>109</v>
      </c>
      <c r="F405" s="151" t="s">
        <v>810</v>
      </c>
      <c r="G405" s="152">
        <v>10713</v>
      </c>
      <c r="H405" s="54"/>
      <c r="I405" s="54"/>
      <c r="J405" s="54"/>
      <c r="K405" s="152">
        <v>10713</v>
      </c>
      <c r="L405" s="54">
        <v>122</v>
      </c>
      <c r="M405" s="57">
        <f>SUM(N405:S405)</f>
        <v>10590</v>
      </c>
      <c r="N405" s="61"/>
      <c r="O405" s="61"/>
      <c r="P405" s="61"/>
      <c r="Q405" s="61"/>
      <c r="R405" s="61"/>
      <c r="S405" s="67">
        <v>10590</v>
      </c>
      <c r="T405" s="37"/>
      <c r="V405" s="6">
        <f t="shared" si="134"/>
        <v>0</v>
      </c>
    </row>
    <row r="406" spans="1:22" ht="60">
      <c r="A406" s="40">
        <v>25</v>
      </c>
      <c r="B406" s="72" t="s">
        <v>811</v>
      </c>
      <c r="C406" s="40" t="s">
        <v>92</v>
      </c>
      <c r="D406" s="40" t="s">
        <v>31</v>
      </c>
      <c r="E406" s="53" t="s">
        <v>109</v>
      </c>
      <c r="F406" s="151" t="s">
        <v>812</v>
      </c>
      <c r="G406" s="152">
        <f>SUM(H406:K406)</f>
        <v>26607</v>
      </c>
      <c r="H406" s="54"/>
      <c r="I406" s="54"/>
      <c r="J406" s="54"/>
      <c r="K406" s="152">
        <v>26607</v>
      </c>
      <c r="L406" s="113">
        <v>180</v>
      </c>
      <c r="M406" s="57">
        <f>SUM(N406:S406)</f>
        <v>26427</v>
      </c>
      <c r="N406" s="114"/>
      <c r="O406" s="114"/>
      <c r="P406" s="61"/>
      <c r="Q406" s="114"/>
      <c r="R406" s="114"/>
      <c r="S406" s="101">
        <f>19815+6612</f>
        <v>26427</v>
      </c>
      <c r="T406" s="37"/>
      <c r="V406" s="6">
        <f t="shared" si="134"/>
        <v>0</v>
      </c>
    </row>
    <row r="407" spans="1:22" ht="45">
      <c r="A407" s="40">
        <v>26</v>
      </c>
      <c r="B407" s="190" t="s">
        <v>813</v>
      </c>
      <c r="C407" s="15" t="s">
        <v>40</v>
      </c>
      <c r="D407" s="40" t="s">
        <v>31</v>
      </c>
      <c r="E407" s="38" t="s">
        <v>112</v>
      </c>
      <c r="F407" s="76" t="s">
        <v>814</v>
      </c>
      <c r="G407" s="152">
        <f>SUM(H407:K407)</f>
        <v>32293.283824999999</v>
      </c>
      <c r="H407" s="185"/>
      <c r="I407" s="185"/>
      <c r="J407" s="109"/>
      <c r="K407" s="500">
        <v>32293.283824999999</v>
      </c>
      <c r="L407" s="109"/>
      <c r="M407" s="57">
        <f t="shared" si="132"/>
        <v>32083</v>
      </c>
      <c r="N407" s="66"/>
      <c r="O407" s="66"/>
      <c r="P407" s="66"/>
      <c r="Q407" s="66"/>
      <c r="R407" s="186"/>
      <c r="S407" s="35">
        <v>32083</v>
      </c>
      <c r="T407" s="37"/>
      <c r="V407" s="6">
        <f t="shared" si="134"/>
        <v>0</v>
      </c>
    </row>
    <row r="408" spans="1:22" ht="45">
      <c r="A408" s="40">
        <v>27</v>
      </c>
      <c r="B408" s="190" t="s">
        <v>713</v>
      </c>
      <c r="C408" s="15" t="s">
        <v>40</v>
      </c>
      <c r="D408" s="40" t="s">
        <v>31</v>
      </c>
      <c r="E408" s="38" t="s">
        <v>55</v>
      </c>
      <c r="F408" s="15" t="s">
        <v>815</v>
      </c>
      <c r="G408" s="54">
        <f t="shared" si="133"/>
        <v>3211</v>
      </c>
      <c r="H408" s="112"/>
      <c r="I408" s="112"/>
      <c r="J408" s="111"/>
      <c r="K408" s="191">
        <v>3211</v>
      </c>
      <c r="L408" s="109"/>
      <c r="M408" s="57">
        <f t="shared" si="132"/>
        <v>3155</v>
      </c>
      <c r="N408" s="66"/>
      <c r="O408" s="66"/>
      <c r="P408" s="66"/>
      <c r="Q408" s="66"/>
      <c r="R408" s="186"/>
      <c r="S408" s="35">
        <v>3155</v>
      </c>
      <c r="T408" s="37"/>
      <c r="V408" s="6">
        <f t="shared" si="134"/>
        <v>0</v>
      </c>
    </row>
    <row r="409" spans="1:22" ht="30">
      <c r="A409" s="40">
        <v>28</v>
      </c>
      <c r="B409" s="39" t="s">
        <v>750</v>
      </c>
      <c r="C409" s="15" t="s">
        <v>40</v>
      </c>
      <c r="D409" s="40" t="s">
        <v>31</v>
      </c>
      <c r="E409" s="38" t="s">
        <v>55</v>
      </c>
      <c r="F409" s="15" t="s">
        <v>816</v>
      </c>
      <c r="G409" s="54">
        <f t="shared" si="133"/>
        <v>2900</v>
      </c>
      <c r="H409" s="112"/>
      <c r="I409" s="112"/>
      <c r="J409" s="111"/>
      <c r="K409" s="191">
        <v>2900</v>
      </c>
      <c r="L409" s="109"/>
      <c r="M409" s="57">
        <f t="shared" si="132"/>
        <v>2780</v>
      </c>
      <c r="N409" s="66"/>
      <c r="O409" s="66"/>
      <c r="P409" s="66"/>
      <c r="Q409" s="66"/>
      <c r="R409" s="186"/>
      <c r="S409" s="35">
        <v>2780</v>
      </c>
      <c r="T409" s="37"/>
      <c r="V409" s="6">
        <f t="shared" si="134"/>
        <v>0</v>
      </c>
    </row>
    <row r="410" spans="1:22" ht="45">
      <c r="A410" s="40">
        <v>29</v>
      </c>
      <c r="B410" s="190" t="s">
        <v>817</v>
      </c>
      <c r="C410" s="15" t="s">
        <v>40</v>
      </c>
      <c r="D410" s="40" t="s">
        <v>31</v>
      </c>
      <c r="E410" s="193" t="s">
        <v>542</v>
      </c>
      <c r="F410" s="41" t="s">
        <v>818</v>
      </c>
      <c r="G410" s="54">
        <f t="shared" si="133"/>
        <v>5619</v>
      </c>
      <c r="H410" s="112"/>
      <c r="I410" s="112"/>
      <c r="J410" s="111"/>
      <c r="K410" s="192">
        <v>5619</v>
      </c>
      <c r="L410" s="109"/>
      <c r="M410" s="57">
        <f t="shared" si="132"/>
        <v>5300</v>
      </c>
      <c r="N410" s="66"/>
      <c r="O410" s="66"/>
      <c r="P410" s="66"/>
      <c r="Q410" s="66"/>
      <c r="R410" s="186"/>
      <c r="S410" s="35">
        <v>5300</v>
      </c>
      <c r="T410" s="37"/>
      <c r="V410" s="6">
        <f t="shared" si="134"/>
        <v>0</v>
      </c>
    </row>
    <row r="411" spans="1:22">
      <c r="A411" s="478" t="s">
        <v>819</v>
      </c>
      <c r="B411" s="47" t="s">
        <v>820</v>
      </c>
      <c r="C411" s="29"/>
      <c r="D411" s="29"/>
      <c r="E411" s="29"/>
      <c r="F411" s="48">
        <f t="shared" ref="F411:T411" si="135">F412+F414</f>
        <v>0</v>
      </c>
      <c r="G411" s="48">
        <f t="shared" si="135"/>
        <v>72713</v>
      </c>
      <c r="H411" s="48">
        <f t="shared" si="135"/>
        <v>45000</v>
      </c>
      <c r="I411" s="48">
        <f t="shared" si="135"/>
        <v>0</v>
      </c>
      <c r="J411" s="48">
        <f t="shared" si="135"/>
        <v>0</v>
      </c>
      <c r="K411" s="48">
        <f t="shared" si="135"/>
        <v>27713</v>
      </c>
      <c r="L411" s="48">
        <f t="shared" si="135"/>
        <v>45729</v>
      </c>
      <c r="M411" s="48">
        <f t="shared" si="135"/>
        <v>25911</v>
      </c>
      <c r="N411" s="49">
        <f t="shared" si="135"/>
        <v>6500</v>
      </c>
      <c r="O411" s="49">
        <f t="shared" si="135"/>
        <v>0</v>
      </c>
      <c r="P411" s="49">
        <f t="shared" si="135"/>
        <v>0</v>
      </c>
      <c r="Q411" s="49">
        <f t="shared" si="135"/>
        <v>0</v>
      </c>
      <c r="R411" s="49">
        <f t="shared" si="135"/>
        <v>0</v>
      </c>
      <c r="S411" s="48">
        <f t="shared" si="135"/>
        <v>19411</v>
      </c>
      <c r="T411" s="50">
        <f t="shared" si="135"/>
        <v>0</v>
      </c>
      <c r="V411" s="6">
        <f t="shared" si="134"/>
        <v>0</v>
      </c>
    </row>
    <row r="412" spans="1:22" s="158" customFormat="1">
      <c r="A412" s="487" t="s">
        <v>37</v>
      </c>
      <c r="B412" s="309" t="s">
        <v>38</v>
      </c>
      <c r="C412" s="248"/>
      <c r="D412" s="248"/>
      <c r="E412" s="248"/>
      <c r="F412" s="492"/>
      <c r="G412" s="469">
        <f>SUM(G413)</f>
        <v>222</v>
      </c>
      <c r="H412" s="469">
        <f t="shared" ref="H412:T412" si="136">SUM(H413)</f>
        <v>0</v>
      </c>
      <c r="I412" s="469">
        <f t="shared" si="136"/>
        <v>0</v>
      </c>
      <c r="J412" s="469">
        <f t="shared" si="136"/>
        <v>0</v>
      </c>
      <c r="K412" s="469">
        <f t="shared" si="136"/>
        <v>222</v>
      </c>
      <c r="L412" s="469">
        <f t="shared" si="136"/>
        <v>0</v>
      </c>
      <c r="M412" s="469">
        <f t="shared" si="136"/>
        <v>180</v>
      </c>
      <c r="N412" s="470">
        <f t="shared" si="136"/>
        <v>0</v>
      </c>
      <c r="O412" s="470">
        <f t="shared" si="136"/>
        <v>0</v>
      </c>
      <c r="P412" s="470">
        <f t="shared" si="136"/>
        <v>0</v>
      </c>
      <c r="Q412" s="470">
        <f t="shared" si="136"/>
        <v>0</v>
      </c>
      <c r="R412" s="470">
        <f t="shared" si="136"/>
        <v>0</v>
      </c>
      <c r="S412" s="469">
        <f t="shared" si="136"/>
        <v>180</v>
      </c>
      <c r="T412" s="471">
        <f t="shared" si="136"/>
        <v>0</v>
      </c>
      <c r="V412" s="6">
        <f t="shared" si="134"/>
        <v>0</v>
      </c>
    </row>
    <row r="413" spans="1:22" s="26" customFormat="1" ht="45">
      <c r="A413" s="75">
        <v>1</v>
      </c>
      <c r="B413" s="59" t="s">
        <v>821</v>
      </c>
      <c r="C413" s="53" t="s">
        <v>822</v>
      </c>
      <c r="D413" s="15"/>
      <c r="E413" s="76" t="s">
        <v>41</v>
      </c>
      <c r="F413" s="81" t="s">
        <v>823</v>
      </c>
      <c r="G413" s="77">
        <f>SUM(H413:K413)</f>
        <v>222</v>
      </c>
      <c r="H413" s="64"/>
      <c r="I413" s="64"/>
      <c r="J413" s="64"/>
      <c r="K413" s="77">
        <v>222</v>
      </c>
      <c r="L413" s="64"/>
      <c r="M413" s="19">
        <f>SUBTOTAL(9,N413:S413)</f>
        <v>180</v>
      </c>
      <c r="N413" s="145"/>
      <c r="O413" s="145"/>
      <c r="P413" s="145"/>
      <c r="Q413" s="145"/>
      <c r="R413" s="145"/>
      <c r="S413" s="86">
        <v>180</v>
      </c>
      <c r="T413" s="154"/>
      <c r="V413" s="6">
        <f t="shared" si="134"/>
        <v>0</v>
      </c>
    </row>
    <row r="414" spans="1:22" s="158" customFormat="1">
      <c r="A414" s="487" t="s">
        <v>69</v>
      </c>
      <c r="B414" s="309" t="s">
        <v>70</v>
      </c>
      <c r="C414" s="248"/>
      <c r="D414" s="248"/>
      <c r="E414" s="248"/>
      <c r="F414" s="492">
        <f t="shared" ref="F414:T414" si="137">F415+F417</f>
        <v>0</v>
      </c>
      <c r="G414" s="469">
        <f t="shared" si="137"/>
        <v>72491</v>
      </c>
      <c r="H414" s="469">
        <f t="shared" si="137"/>
        <v>45000</v>
      </c>
      <c r="I414" s="469">
        <f t="shared" si="137"/>
        <v>0</v>
      </c>
      <c r="J414" s="469">
        <f t="shared" si="137"/>
        <v>0</v>
      </c>
      <c r="K414" s="469">
        <f t="shared" si="137"/>
        <v>27491</v>
      </c>
      <c r="L414" s="469">
        <f t="shared" si="137"/>
        <v>45729</v>
      </c>
      <c r="M414" s="469">
        <f t="shared" si="137"/>
        <v>25731</v>
      </c>
      <c r="N414" s="470">
        <f t="shared" si="137"/>
        <v>6500</v>
      </c>
      <c r="O414" s="470">
        <f t="shared" si="137"/>
        <v>0</v>
      </c>
      <c r="P414" s="470">
        <f t="shared" si="137"/>
        <v>0</v>
      </c>
      <c r="Q414" s="470">
        <f t="shared" si="137"/>
        <v>0</v>
      </c>
      <c r="R414" s="470">
        <f t="shared" si="137"/>
        <v>0</v>
      </c>
      <c r="S414" s="469">
        <f t="shared" si="137"/>
        <v>19231</v>
      </c>
      <c r="T414" s="471">
        <f t="shared" si="137"/>
        <v>0</v>
      </c>
      <c r="V414" s="6">
        <f t="shared" si="134"/>
        <v>0</v>
      </c>
    </row>
    <row r="415" spans="1:22">
      <c r="A415" s="46" t="s">
        <v>71</v>
      </c>
      <c r="B415" s="47" t="s">
        <v>824</v>
      </c>
      <c r="C415" s="29"/>
      <c r="D415" s="29"/>
      <c r="E415" s="29"/>
      <c r="F415" s="48"/>
      <c r="G415" s="58">
        <f t="shared" ref="G415:T415" si="138">G416</f>
        <v>4512</v>
      </c>
      <c r="H415" s="58">
        <f t="shared" si="138"/>
        <v>0</v>
      </c>
      <c r="I415" s="58">
        <f t="shared" si="138"/>
        <v>0</v>
      </c>
      <c r="J415" s="58">
        <f t="shared" si="138"/>
        <v>0</v>
      </c>
      <c r="K415" s="58">
        <f t="shared" si="138"/>
        <v>4512</v>
      </c>
      <c r="L415" s="58">
        <f t="shared" si="138"/>
        <v>4306</v>
      </c>
      <c r="M415" s="48">
        <f t="shared" si="138"/>
        <v>206</v>
      </c>
      <c r="N415" s="49">
        <f t="shared" si="138"/>
        <v>0</v>
      </c>
      <c r="O415" s="49">
        <f t="shared" si="138"/>
        <v>0</v>
      </c>
      <c r="P415" s="49">
        <f t="shared" si="138"/>
        <v>0</v>
      </c>
      <c r="Q415" s="49">
        <f t="shared" si="138"/>
        <v>0</v>
      </c>
      <c r="R415" s="49">
        <f t="shared" si="138"/>
        <v>0</v>
      </c>
      <c r="S415" s="48">
        <f t="shared" si="138"/>
        <v>206</v>
      </c>
      <c r="T415" s="50">
        <f t="shared" si="138"/>
        <v>0</v>
      </c>
      <c r="V415" s="6">
        <f t="shared" si="134"/>
        <v>0</v>
      </c>
    </row>
    <row r="416" spans="1:22" ht="45">
      <c r="A416" s="75">
        <v>1</v>
      </c>
      <c r="B416" s="59" t="s">
        <v>825</v>
      </c>
      <c r="C416" s="53" t="s">
        <v>58</v>
      </c>
      <c r="D416" s="53" t="s">
        <v>31</v>
      </c>
      <c r="E416" s="53" t="s">
        <v>365</v>
      </c>
      <c r="F416" s="53" t="s">
        <v>826</v>
      </c>
      <c r="G416" s="54">
        <f>SUM(H416:K416)</f>
        <v>4512</v>
      </c>
      <c r="H416" s="58"/>
      <c r="I416" s="58"/>
      <c r="J416" s="58"/>
      <c r="K416" s="60">
        <v>4512</v>
      </c>
      <c r="L416" s="60">
        <v>4306</v>
      </c>
      <c r="M416" s="57">
        <f>SUM(N416:S416)</f>
        <v>206</v>
      </c>
      <c r="N416" s="49"/>
      <c r="O416" s="49"/>
      <c r="P416" s="49"/>
      <c r="Q416" s="49"/>
      <c r="R416" s="49"/>
      <c r="S416" s="68">
        <v>206</v>
      </c>
      <c r="T416" s="37"/>
      <c r="V416" s="6">
        <f t="shared" si="134"/>
        <v>0</v>
      </c>
    </row>
    <row r="417" spans="1:22">
      <c r="A417" s="46" t="s">
        <v>82</v>
      </c>
      <c r="B417" s="47" t="s">
        <v>83</v>
      </c>
      <c r="C417" s="29"/>
      <c r="D417" s="29"/>
      <c r="E417" s="29"/>
      <c r="F417" s="48">
        <f t="shared" ref="F417:T417" si="139">SUM(F418:F419)</f>
        <v>0</v>
      </c>
      <c r="G417" s="58">
        <f t="shared" si="139"/>
        <v>67979</v>
      </c>
      <c r="H417" s="58">
        <f t="shared" si="139"/>
        <v>45000</v>
      </c>
      <c r="I417" s="58">
        <f t="shared" si="139"/>
        <v>0</v>
      </c>
      <c r="J417" s="58">
        <f t="shared" si="139"/>
        <v>0</v>
      </c>
      <c r="K417" s="58">
        <f t="shared" si="139"/>
        <v>22979</v>
      </c>
      <c r="L417" s="58">
        <f t="shared" si="139"/>
        <v>41423</v>
      </c>
      <c r="M417" s="48">
        <f t="shared" si="139"/>
        <v>25525</v>
      </c>
      <c r="N417" s="49">
        <f t="shared" si="139"/>
        <v>6500</v>
      </c>
      <c r="O417" s="49">
        <f t="shared" si="139"/>
        <v>0</v>
      </c>
      <c r="P417" s="49">
        <f t="shared" si="139"/>
        <v>0</v>
      </c>
      <c r="Q417" s="49">
        <f t="shared" si="139"/>
        <v>0</v>
      </c>
      <c r="R417" s="49">
        <f t="shared" si="139"/>
        <v>0</v>
      </c>
      <c r="S417" s="48">
        <f t="shared" si="139"/>
        <v>19025</v>
      </c>
      <c r="T417" s="50">
        <f t="shared" si="139"/>
        <v>0</v>
      </c>
      <c r="V417" s="6">
        <f t="shared" si="134"/>
        <v>0</v>
      </c>
    </row>
    <row r="418" spans="1:22" ht="45">
      <c r="A418" s="40">
        <v>1</v>
      </c>
      <c r="B418" s="72" t="s">
        <v>827</v>
      </c>
      <c r="C418" s="32" t="s">
        <v>828</v>
      </c>
      <c r="D418" s="32" t="s">
        <v>31</v>
      </c>
      <c r="E418" s="32" t="s">
        <v>283</v>
      </c>
      <c r="F418" s="73" t="s">
        <v>829</v>
      </c>
      <c r="G418" s="67">
        <v>18004</v>
      </c>
      <c r="H418" s="112"/>
      <c r="I418" s="112"/>
      <c r="J418" s="111"/>
      <c r="K418" s="111">
        <v>18004</v>
      </c>
      <c r="L418" s="109"/>
      <c r="M418" s="57">
        <f>SUM(N418:S418)</f>
        <v>17328</v>
      </c>
      <c r="N418" s="66"/>
      <c r="O418" s="66"/>
      <c r="P418" s="66"/>
      <c r="Q418" s="66"/>
      <c r="R418" s="186"/>
      <c r="S418" s="111">
        <f>17847-519</f>
        <v>17328</v>
      </c>
      <c r="T418" s="37"/>
      <c r="V418" s="6">
        <f t="shared" si="134"/>
        <v>0</v>
      </c>
    </row>
    <row r="419" spans="1:22" ht="60">
      <c r="A419" s="40">
        <v>2</v>
      </c>
      <c r="B419" s="60" t="s">
        <v>830</v>
      </c>
      <c r="C419" s="32" t="s">
        <v>64</v>
      </c>
      <c r="D419" s="32" t="s">
        <v>26</v>
      </c>
      <c r="E419" s="32" t="s">
        <v>227</v>
      </c>
      <c r="F419" s="73" t="s">
        <v>831</v>
      </c>
      <c r="G419" s="54">
        <f>SUM(H419:K419)</f>
        <v>49975</v>
      </c>
      <c r="H419" s="185">
        <v>45000</v>
      </c>
      <c r="I419" s="185"/>
      <c r="J419" s="54"/>
      <c r="K419" s="54">
        <v>4975</v>
      </c>
      <c r="L419" s="93">
        <v>41423</v>
      </c>
      <c r="M419" s="57">
        <f>SUM(N419:S419)</f>
        <v>8197</v>
      </c>
      <c r="N419" s="66">
        <v>6500</v>
      </c>
      <c r="O419" s="66"/>
      <c r="P419" s="66"/>
      <c r="Q419" s="66"/>
      <c r="R419" s="66"/>
      <c r="S419" s="122">
        <f>1178+519</f>
        <v>1697</v>
      </c>
      <c r="T419" s="37"/>
      <c r="V419" s="6">
        <f t="shared" si="134"/>
        <v>0</v>
      </c>
    </row>
    <row r="420" spans="1:22">
      <c r="A420" s="199" t="s">
        <v>832</v>
      </c>
      <c r="B420" s="467" t="s">
        <v>833</v>
      </c>
      <c r="C420" s="29"/>
      <c r="D420" s="29"/>
      <c r="E420" s="29"/>
      <c r="F420" s="163"/>
      <c r="G420" s="58">
        <f>G421</f>
        <v>68638</v>
      </c>
      <c r="H420" s="58">
        <f t="shared" ref="H420:T421" si="140">H421</f>
        <v>0</v>
      </c>
      <c r="I420" s="58">
        <f t="shared" si="140"/>
        <v>0</v>
      </c>
      <c r="J420" s="58">
        <f t="shared" si="140"/>
        <v>0</v>
      </c>
      <c r="K420" s="58">
        <f t="shared" si="140"/>
        <v>68638</v>
      </c>
      <c r="L420" s="58">
        <f t="shared" si="140"/>
        <v>791</v>
      </c>
      <c r="M420" s="48">
        <f t="shared" si="140"/>
        <v>67847</v>
      </c>
      <c r="N420" s="49">
        <f t="shared" si="140"/>
        <v>0</v>
      </c>
      <c r="O420" s="49">
        <f t="shared" si="140"/>
        <v>0</v>
      </c>
      <c r="P420" s="49">
        <f t="shared" si="140"/>
        <v>0</v>
      </c>
      <c r="Q420" s="49">
        <f t="shared" si="140"/>
        <v>0</v>
      </c>
      <c r="R420" s="49">
        <f t="shared" si="140"/>
        <v>0</v>
      </c>
      <c r="S420" s="48">
        <f t="shared" si="140"/>
        <v>67847</v>
      </c>
      <c r="T420" s="50">
        <f t="shared" si="140"/>
        <v>0</v>
      </c>
      <c r="V420" s="6">
        <f t="shared" si="134"/>
        <v>0</v>
      </c>
    </row>
    <row r="421" spans="1:22" s="158" customFormat="1">
      <c r="A421" s="487" t="s">
        <v>69</v>
      </c>
      <c r="B421" s="309" t="s">
        <v>70</v>
      </c>
      <c r="C421" s="248"/>
      <c r="D421" s="248"/>
      <c r="E421" s="248"/>
      <c r="F421" s="492"/>
      <c r="G421" s="469">
        <f>G422</f>
        <v>68638</v>
      </c>
      <c r="H421" s="469">
        <f t="shared" si="140"/>
        <v>0</v>
      </c>
      <c r="I421" s="469">
        <f t="shared" si="140"/>
        <v>0</v>
      </c>
      <c r="J421" s="469">
        <f t="shared" si="140"/>
        <v>0</v>
      </c>
      <c r="K421" s="469">
        <f t="shared" si="140"/>
        <v>68638</v>
      </c>
      <c r="L421" s="469">
        <f t="shared" si="140"/>
        <v>791</v>
      </c>
      <c r="M421" s="469">
        <f t="shared" si="140"/>
        <v>67847</v>
      </c>
      <c r="N421" s="470">
        <f t="shared" si="140"/>
        <v>0</v>
      </c>
      <c r="O421" s="470">
        <f t="shared" si="140"/>
        <v>0</v>
      </c>
      <c r="P421" s="470">
        <f t="shared" si="140"/>
        <v>0</v>
      </c>
      <c r="Q421" s="470">
        <f t="shared" si="140"/>
        <v>0</v>
      </c>
      <c r="R421" s="470">
        <f t="shared" si="140"/>
        <v>0</v>
      </c>
      <c r="S421" s="469">
        <f t="shared" si="140"/>
        <v>67847</v>
      </c>
      <c r="T421" s="471">
        <f t="shared" si="140"/>
        <v>0</v>
      </c>
      <c r="V421" s="6">
        <f t="shared" si="134"/>
        <v>0</v>
      </c>
    </row>
    <row r="422" spans="1:22">
      <c r="A422" s="46" t="s">
        <v>82</v>
      </c>
      <c r="B422" s="47" t="s">
        <v>83</v>
      </c>
      <c r="C422" s="29"/>
      <c r="D422" s="29"/>
      <c r="E422" s="29"/>
      <c r="F422" s="58">
        <f t="shared" ref="F422:T422" si="141">SUM(F423:F423)</f>
        <v>0</v>
      </c>
      <c r="G422" s="58">
        <f t="shared" si="141"/>
        <v>68638</v>
      </c>
      <c r="H422" s="58">
        <f t="shared" si="141"/>
        <v>0</v>
      </c>
      <c r="I422" s="58">
        <f t="shared" si="141"/>
        <v>0</v>
      </c>
      <c r="J422" s="58">
        <f t="shared" si="141"/>
        <v>0</v>
      </c>
      <c r="K422" s="58">
        <f t="shared" si="141"/>
        <v>68638</v>
      </c>
      <c r="L422" s="58">
        <f t="shared" si="141"/>
        <v>791</v>
      </c>
      <c r="M422" s="48">
        <f t="shared" si="141"/>
        <v>67847</v>
      </c>
      <c r="N422" s="49">
        <f t="shared" si="141"/>
        <v>0</v>
      </c>
      <c r="O422" s="49">
        <f t="shared" si="141"/>
        <v>0</v>
      </c>
      <c r="P422" s="49">
        <f t="shared" si="141"/>
        <v>0</v>
      </c>
      <c r="Q422" s="49">
        <f t="shared" si="141"/>
        <v>0</v>
      </c>
      <c r="R422" s="49">
        <f t="shared" si="141"/>
        <v>0</v>
      </c>
      <c r="S422" s="48">
        <f t="shared" si="141"/>
        <v>67847</v>
      </c>
      <c r="T422" s="50">
        <f t="shared" si="141"/>
        <v>0</v>
      </c>
      <c r="V422" s="6">
        <f t="shared" si="134"/>
        <v>0</v>
      </c>
    </row>
    <row r="423" spans="1:22" ht="30">
      <c r="A423" s="53">
        <v>1</v>
      </c>
      <c r="B423" s="59" t="s">
        <v>834</v>
      </c>
      <c r="C423" s="53" t="s">
        <v>58</v>
      </c>
      <c r="D423" s="53" t="s">
        <v>26</v>
      </c>
      <c r="E423" s="53" t="s">
        <v>245</v>
      </c>
      <c r="F423" s="40" t="s">
        <v>835</v>
      </c>
      <c r="G423" s="54">
        <f>SUM(H423:K423)</f>
        <v>68638</v>
      </c>
      <c r="H423" s="54"/>
      <c r="I423" s="54"/>
      <c r="J423" s="109"/>
      <c r="K423" s="109">
        <v>68638</v>
      </c>
      <c r="L423" s="60">
        <v>791</v>
      </c>
      <c r="M423" s="57">
        <f>SUM(N423:S423)</f>
        <v>67847</v>
      </c>
      <c r="N423" s="66"/>
      <c r="O423" s="66"/>
      <c r="P423" s="66"/>
      <c r="Q423" s="66"/>
      <c r="R423" s="66"/>
      <c r="S423" s="67">
        <v>67847</v>
      </c>
      <c r="T423" s="37"/>
      <c r="V423" s="6">
        <f t="shared" si="134"/>
        <v>0</v>
      </c>
    </row>
    <row r="424" spans="1:22">
      <c r="A424" s="199" t="s">
        <v>836</v>
      </c>
      <c r="B424" s="467" t="s">
        <v>837</v>
      </c>
      <c r="C424" s="29"/>
      <c r="D424" s="29"/>
      <c r="E424" s="29"/>
      <c r="F424" s="163"/>
      <c r="G424" s="58">
        <f>G425</f>
        <v>616358</v>
      </c>
      <c r="H424" s="58">
        <f t="shared" ref="H424:T425" si="142">H425</f>
        <v>45000</v>
      </c>
      <c r="I424" s="58">
        <f t="shared" si="142"/>
        <v>478904</v>
      </c>
      <c r="J424" s="58">
        <f t="shared" si="142"/>
        <v>83630</v>
      </c>
      <c r="K424" s="58">
        <f t="shared" si="142"/>
        <v>8824</v>
      </c>
      <c r="L424" s="58">
        <f t="shared" si="142"/>
        <v>78647</v>
      </c>
      <c r="M424" s="48">
        <f t="shared" si="142"/>
        <v>99984</v>
      </c>
      <c r="N424" s="49">
        <f t="shared" si="142"/>
        <v>0</v>
      </c>
      <c r="O424" s="49">
        <f t="shared" si="142"/>
        <v>34000</v>
      </c>
      <c r="P424" s="49">
        <f t="shared" si="142"/>
        <v>0</v>
      </c>
      <c r="Q424" s="49">
        <f t="shared" si="142"/>
        <v>0</v>
      </c>
      <c r="R424" s="49">
        <f t="shared" si="142"/>
        <v>0</v>
      </c>
      <c r="S424" s="48">
        <f t="shared" si="142"/>
        <v>65984</v>
      </c>
      <c r="T424" s="50">
        <f t="shared" si="142"/>
        <v>0</v>
      </c>
      <c r="V424" s="6">
        <f t="shared" si="134"/>
        <v>0</v>
      </c>
    </row>
    <row r="425" spans="1:22" s="158" customFormat="1">
      <c r="A425" s="487" t="s">
        <v>69</v>
      </c>
      <c r="B425" s="309" t="s">
        <v>70</v>
      </c>
      <c r="C425" s="248"/>
      <c r="D425" s="248"/>
      <c r="E425" s="248"/>
      <c r="F425" s="492"/>
      <c r="G425" s="469">
        <f>G426</f>
        <v>616358</v>
      </c>
      <c r="H425" s="469">
        <f t="shared" si="142"/>
        <v>45000</v>
      </c>
      <c r="I425" s="469">
        <f t="shared" si="142"/>
        <v>478904</v>
      </c>
      <c r="J425" s="469">
        <f t="shared" si="142"/>
        <v>83630</v>
      </c>
      <c r="K425" s="469">
        <f t="shared" si="142"/>
        <v>8824</v>
      </c>
      <c r="L425" s="469">
        <f t="shared" si="142"/>
        <v>78647</v>
      </c>
      <c r="M425" s="469">
        <f t="shared" si="142"/>
        <v>99984</v>
      </c>
      <c r="N425" s="470">
        <f t="shared" si="142"/>
        <v>0</v>
      </c>
      <c r="O425" s="470">
        <f t="shared" si="142"/>
        <v>34000</v>
      </c>
      <c r="P425" s="470">
        <f t="shared" si="142"/>
        <v>0</v>
      </c>
      <c r="Q425" s="470">
        <f t="shared" si="142"/>
        <v>0</v>
      </c>
      <c r="R425" s="470">
        <f t="shared" si="142"/>
        <v>0</v>
      </c>
      <c r="S425" s="469">
        <f t="shared" si="142"/>
        <v>65984</v>
      </c>
      <c r="T425" s="471">
        <f t="shared" si="142"/>
        <v>0</v>
      </c>
      <c r="V425" s="6">
        <f t="shared" si="134"/>
        <v>0</v>
      </c>
    </row>
    <row r="426" spans="1:22">
      <c r="A426" s="46" t="s">
        <v>82</v>
      </c>
      <c r="B426" s="47" t="s">
        <v>83</v>
      </c>
      <c r="C426" s="29"/>
      <c r="D426" s="29"/>
      <c r="E426" s="29"/>
      <c r="F426" s="58"/>
      <c r="G426" s="58">
        <f t="shared" ref="G426:T426" si="143">SUM(G427:G428)</f>
        <v>616358</v>
      </c>
      <c r="H426" s="58">
        <f t="shared" si="143"/>
        <v>45000</v>
      </c>
      <c r="I426" s="58">
        <f t="shared" si="143"/>
        <v>478904</v>
      </c>
      <c r="J426" s="58">
        <f t="shared" si="143"/>
        <v>83630</v>
      </c>
      <c r="K426" s="58">
        <f t="shared" si="143"/>
        <v>8824</v>
      </c>
      <c r="L426" s="58">
        <f t="shared" si="143"/>
        <v>78647</v>
      </c>
      <c r="M426" s="48">
        <f t="shared" si="143"/>
        <v>99984</v>
      </c>
      <c r="N426" s="49">
        <f t="shared" si="143"/>
        <v>0</v>
      </c>
      <c r="O426" s="49">
        <f t="shared" si="143"/>
        <v>34000</v>
      </c>
      <c r="P426" s="49">
        <f t="shared" si="143"/>
        <v>0</v>
      </c>
      <c r="Q426" s="49">
        <f t="shared" si="143"/>
        <v>0</v>
      </c>
      <c r="R426" s="49">
        <f t="shared" si="143"/>
        <v>0</v>
      </c>
      <c r="S426" s="48">
        <f t="shared" si="143"/>
        <v>65984</v>
      </c>
      <c r="T426" s="50">
        <f t="shared" si="143"/>
        <v>0</v>
      </c>
      <c r="V426" s="6">
        <f t="shared" si="134"/>
        <v>0</v>
      </c>
    </row>
    <row r="427" spans="1:22" ht="60">
      <c r="A427" s="53">
        <v>1</v>
      </c>
      <c r="B427" s="59" t="s">
        <v>838</v>
      </c>
      <c r="C427" s="53" t="s">
        <v>839</v>
      </c>
      <c r="D427" s="53" t="s">
        <v>31</v>
      </c>
      <c r="E427" s="53" t="s">
        <v>230</v>
      </c>
      <c r="F427" s="40" t="s">
        <v>840</v>
      </c>
      <c r="G427" s="54">
        <f>SUM(H427:K427)</f>
        <v>58824</v>
      </c>
      <c r="H427" s="54"/>
      <c r="I427" s="54">
        <v>50000</v>
      </c>
      <c r="J427" s="109"/>
      <c r="K427" s="109">
        <v>8824</v>
      </c>
      <c r="L427" s="60">
        <f>16000+8824</f>
        <v>24824</v>
      </c>
      <c r="M427" s="57">
        <f>SUM(N427:S427)</f>
        <v>34000</v>
      </c>
      <c r="N427" s="66"/>
      <c r="O427" s="66">
        <v>34000</v>
      </c>
      <c r="P427" s="66"/>
      <c r="Q427" s="66"/>
      <c r="R427" s="66"/>
      <c r="S427" s="67"/>
      <c r="T427" s="37"/>
      <c r="V427" s="6">
        <f t="shared" si="134"/>
        <v>0</v>
      </c>
    </row>
    <row r="428" spans="1:22" ht="60">
      <c r="A428" s="53">
        <v>2</v>
      </c>
      <c r="B428" s="59" t="s">
        <v>841</v>
      </c>
      <c r="C428" s="53" t="s">
        <v>839</v>
      </c>
      <c r="D428" s="53" t="s">
        <v>26</v>
      </c>
      <c r="E428" s="53" t="s">
        <v>466</v>
      </c>
      <c r="F428" s="40" t="s">
        <v>842</v>
      </c>
      <c r="G428" s="54">
        <v>557534</v>
      </c>
      <c r="H428" s="54">
        <v>45000</v>
      </c>
      <c r="I428" s="54">
        <f>473904-45000</f>
        <v>428904</v>
      </c>
      <c r="J428" s="109">
        <v>83630</v>
      </c>
      <c r="K428" s="109"/>
      <c r="L428" s="60">
        <f>8823+45000</f>
        <v>53823</v>
      </c>
      <c r="M428" s="57">
        <f>SUM(N428:S428)</f>
        <v>65984</v>
      </c>
      <c r="N428" s="66"/>
      <c r="O428" s="66"/>
      <c r="P428" s="66"/>
      <c r="Q428" s="66"/>
      <c r="R428" s="66"/>
      <c r="S428" s="67">
        <v>65984</v>
      </c>
      <c r="T428" s="37"/>
      <c r="V428" s="6">
        <f t="shared" si="134"/>
        <v>0</v>
      </c>
    </row>
    <row r="429" spans="1:22" ht="28.5">
      <c r="A429" s="199" t="s">
        <v>843</v>
      </c>
      <c r="B429" s="467" t="s">
        <v>844</v>
      </c>
      <c r="C429" s="29"/>
      <c r="D429" s="29"/>
      <c r="E429" s="29"/>
      <c r="F429" s="163"/>
      <c r="G429" s="58">
        <f t="shared" ref="G429:T429" si="144">G430+G444</f>
        <v>684966.90899999999</v>
      </c>
      <c r="H429" s="58">
        <f t="shared" si="144"/>
        <v>279365</v>
      </c>
      <c r="I429" s="58">
        <f t="shared" si="144"/>
        <v>0</v>
      </c>
      <c r="J429" s="58">
        <f t="shared" si="144"/>
        <v>0</v>
      </c>
      <c r="K429" s="58">
        <f t="shared" si="144"/>
        <v>405601.90899999999</v>
      </c>
      <c r="L429" s="58">
        <f t="shared" si="144"/>
        <v>284476</v>
      </c>
      <c r="M429" s="48">
        <f t="shared" si="144"/>
        <v>246860</v>
      </c>
      <c r="N429" s="49">
        <f t="shared" si="144"/>
        <v>0</v>
      </c>
      <c r="O429" s="49">
        <f t="shared" si="144"/>
        <v>0</v>
      </c>
      <c r="P429" s="49">
        <f t="shared" si="144"/>
        <v>0</v>
      </c>
      <c r="Q429" s="49">
        <f t="shared" si="144"/>
        <v>0</v>
      </c>
      <c r="R429" s="49">
        <f t="shared" si="144"/>
        <v>0</v>
      </c>
      <c r="S429" s="48">
        <f t="shared" si="144"/>
        <v>246860</v>
      </c>
      <c r="T429" s="50">
        <f t="shared" si="144"/>
        <v>0</v>
      </c>
      <c r="V429" s="6">
        <f t="shared" si="134"/>
        <v>0</v>
      </c>
    </row>
    <row r="430" spans="1:22" s="158" customFormat="1" ht="18" customHeight="1">
      <c r="A430" s="487" t="s">
        <v>37</v>
      </c>
      <c r="B430" s="309" t="s">
        <v>38</v>
      </c>
      <c r="C430" s="248"/>
      <c r="D430" s="248"/>
      <c r="E430" s="248"/>
      <c r="F430" s="492"/>
      <c r="G430" s="469">
        <f>SUM(G431:G443)</f>
        <v>4768</v>
      </c>
      <c r="H430" s="469">
        <f t="shared" ref="H430:T430" si="145">SUM(H431:H443)</f>
        <v>0</v>
      </c>
      <c r="I430" s="469">
        <f t="shared" si="145"/>
        <v>0</v>
      </c>
      <c r="J430" s="469">
        <f t="shared" si="145"/>
        <v>0</v>
      </c>
      <c r="K430" s="469">
        <f t="shared" si="145"/>
        <v>4768</v>
      </c>
      <c r="L430" s="469">
        <f t="shared" si="145"/>
        <v>0</v>
      </c>
      <c r="M430" s="469">
        <f t="shared" si="145"/>
        <v>4146</v>
      </c>
      <c r="N430" s="470">
        <f t="shared" si="145"/>
        <v>0</v>
      </c>
      <c r="O430" s="470">
        <f t="shared" si="145"/>
        <v>0</v>
      </c>
      <c r="P430" s="470">
        <f t="shared" si="145"/>
        <v>0</v>
      </c>
      <c r="Q430" s="470">
        <f t="shared" si="145"/>
        <v>0</v>
      </c>
      <c r="R430" s="470">
        <f t="shared" si="145"/>
        <v>0</v>
      </c>
      <c r="S430" s="469">
        <f t="shared" si="145"/>
        <v>4146</v>
      </c>
      <c r="T430" s="471">
        <f t="shared" si="145"/>
        <v>0</v>
      </c>
      <c r="V430" s="6">
        <f t="shared" si="134"/>
        <v>0</v>
      </c>
    </row>
    <row r="431" spans="1:22" s="26" customFormat="1" ht="45">
      <c r="A431" s="30">
        <v>1</v>
      </c>
      <c r="B431" s="59" t="s">
        <v>845</v>
      </c>
      <c r="C431" s="97" t="s">
        <v>64</v>
      </c>
      <c r="D431" s="15"/>
      <c r="E431" s="32" t="s">
        <v>41</v>
      </c>
      <c r="F431" s="38" t="s">
        <v>846</v>
      </c>
      <c r="G431" s="194">
        <f>SUM(H431:K431)</f>
        <v>653</v>
      </c>
      <c r="H431" s="64"/>
      <c r="I431" s="64"/>
      <c r="J431" s="64"/>
      <c r="K431" s="52">
        <v>653</v>
      </c>
      <c r="L431" s="64"/>
      <c r="M431" s="19">
        <f>SUM(N431:S431)</f>
        <v>580</v>
      </c>
      <c r="N431" s="145"/>
      <c r="O431" s="145"/>
      <c r="P431" s="145"/>
      <c r="Q431" s="145"/>
      <c r="R431" s="145"/>
      <c r="S431" s="19">
        <v>580</v>
      </c>
      <c r="T431" s="154"/>
      <c r="V431" s="6">
        <f t="shared" si="134"/>
        <v>0</v>
      </c>
    </row>
    <row r="432" spans="1:22" s="26" customFormat="1" ht="30">
      <c r="A432" s="30">
        <v>2</v>
      </c>
      <c r="B432" s="59" t="s">
        <v>847</v>
      </c>
      <c r="C432" s="97" t="s">
        <v>136</v>
      </c>
      <c r="D432" s="15"/>
      <c r="E432" s="32" t="s">
        <v>41</v>
      </c>
      <c r="F432" s="38" t="s">
        <v>848</v>
      </c>
      <c r="G432" s="194">
        <f t="shared" ref="G432:G443" si="146">SUM(H432:K432)</f>
        <v>475</v>
      </c>
      <c r="H432" s="64"/>
      <c r="I432" s="64"/>
      <c r="J432" s="64"/>
      <c r="K432" s="52">
        <v>475</v>
      </c>
      <c r="L432" s="64"/>
      <c r="M432" s="19">
        <f t="shared" ref="M432:M443" si="147">SUM(N432:S432)</f>
        <v>420</v>
      </c>
      <c r="N432" s="145"/>
      <c r="O432" s="145"/>
      <c r="P432" s="145"/>
      <c r="Q432" s="145"/>
      <c r="R432" s="145"/>
      <c r="S432" s="19">
        <v>420</v>
      </c>
      <c r="T432" s="154"/>
      <c r="V432" s="6">
        <f t="shared" si="134"/>
        <v>0</v>
      </c>
    </row>
    <row r="433" spans="1:22" s="26" customFormat="1" ht="60">
      <c r="A433" s="30">
        <v>3</v>
      </c>
      <c r="B433" s="72" t="s">
        <v>849</v>
      </c>
      <c r="C433" s="40" t="s">
        <v>64</v>
      </c>
      <c r="D433" s="15"/>
      <c r="E433" s="40" t="s">
        <v>500</v>
      </c>
      <c r="F433" s="38" t="s">
        <v>850</v>
      </c>
      <c r="G433" s="194">
        <f t="shared" si="146"/>
        <v>429</v>
      </c>
      <c r="H433" s="64"/>
      <c r="I433" s="64"/>
      <c r="J433" s="64"/>
      <c r="K433" s="195">
        <v>429</v>
      </c>
      <c r="L433" s="64"/>
      <c r="M433" s="19">
        <f t="shared" si="147"/>
        <v>380</v>
      </c>
      <c r="N433" s="145"/>
      <c r="O433" s="145"/>
      <c r="P433" s="145"/>
      <c r="Q433" s="145"/>
      <c r="R433" s="145"/>
      <c r="S433" s="19">
        <v>380</v>
      </c>
      <c r="T433" s="154"/>
      <c r="V433" s="6">
        <f t="shared" si="134"/>
        <v>0</v>
      </c>
    </row>
    <row r="434" spans="1:22" s="26" customFormat="1" ht="60">
      <c r="A434" s="30">
        <v>4</v>
      </c>
      <c r="B434" s="72" t="s">
        <v>851</v>
      </c>
      <c r="C434" s="40" t="s">
        <v>97</v>
      </c>
      <c r="D434" s="15"/>
      <c r="E434" s="40">
        <v>2022</v>
      </c>
      <c r="F434" s="38" t="s">
        <v>852</v>
      </c>
      <c r="G434" s="194">
        <f t="shared" si="146"/>
        <v>577</v>
      </c>
      <c r="H434" s="64"/>
      <c r="I434" s="64"/>
      <c r="J434" s="64"/>
      <c r="K434" s="195">
        <v>577</v>
      </c>
      <c r="L434" s="64"/>
      <c r="M434" s="19">
        <f t="shared" si="147"/>
        <v>450</v>
      </c>
      <c r="N434" s="145"/>
      <c r="O434" s="145"/>
      <c r="P434" s="145"/>
      <c r="Q434" s="145"/>
      <c r="R434" s="145"/>
      <c r="S434" s="19">
        <v>450</v>
      </c>
      <c r="T434" s="154"/>
      <c r="V434" s="6">
        <f t="shared" si="134"/>
        <v>0</v>
      </c>
    </row>
    <row r="435" spans="1:22" s="26" customFormat="1" ht="45">
      <c r="A435" s="30">
        <v>5</v>
      </c>
      <c r="B435" s="72" t="s">
        <v>853</v>
      </c>
      <c r="C435" s="40" t="s">
        <v>136</v>
      </c>
      <c r="D435" s="15"/>
      <c r="E435" s="40">
        <v>2022</v>
      </c>
      <c r="F435" s="38" t="s">
        <v>854</v>
      </c>
      <c r="G435" s="194">
        <f t="shared" si="146"/>
        <v>129</v>
      </c>
      <c r="H435" s="64"/>
      <c r="I435" s="64"/>
      <c r="J435" s="64"/>
      <c r="K435" s="195">
        <v>129</v>
      </c>
      <c r="L435" s="64"/>
      <c r="M435" s="19">
        <f t="shared" si="147"/>
        <v>50</v>
      </c>
      <c r="N435" s="145"/>
      <c r="O435" s="145"/>
      <c r="P435" s="145"/>
      <c r="Q435" s="145"/>
      <c r="R435" s="145"/>
      <c r="S435" s="19">
        <v>50</v>
      </c>
      <c r="T435" s="154"/>
      <c r="V435" s="6">
        <f t="shared" si="134"/>
        <v>0</v>
      </c>
    </row>
    <row r="436" spans="1:22" s="26" customFormat="1" ht="60">
      <c r="A436" s="30">
        <v>6</v>
      </c>
      <c r="B436" s="72" t="s">
        <v>855</v>
      </c>
      <c r="C436" s="40" t="s">
        <v>136</v>
      </c>
      <c r="D436" s="15"/>
      <c r="E436" s="40" t="s">
        <v>500</v>
      </c>
      <c r="F436" s="38" t="s">
        <v>856</v>
      </c>
      <c r="G436" s="194">
        <f t="shared" si="146"/>
        <v>123</v>
      </c>
      <c r="H436" s="64"/>
      <c r="I436" s="64"/>
      <c r="J436" s="64"/>
      <c r="K436" s="195">
        <v>123</v>
      </c>
      <c r="L436" s="64"/>
      <c r="M436" s="19">
        <f t="shared" si="147"/>
        <v>50</v>
      </c>
      <c r="N436" s="145"/>
      <c r="O436" s="145"/>
      <c r="P436" s="145"/>
      <c r="Q436" s="145"/>
      <c r="R436" s="145"/>
      <c r="S436" s="19">
        <v>50</v>
      </c>
      <c r="T436" s="154"/>
      <c r="V436" s="6">
        <f t="shared" si="134"/>
        <v>0</v>
      </c>
    </row>
    <row r="437" spans="1:22" s="26" customFormat="1" ht="30">
      <c r="A437" s="30">
        <v>7</v>
      </c>
      <c r="B437" s="59" t="s">
        <v>857</v>
      </c>
      <c r="C437" s="31" t="s">
        <v>58</v>
      </c>
      <c r="D437" s="15"/>
      <c r="E437" s="32" t="s">
        <v>41</v>
      </c>
      <c r="F437" s="38" t="s">
        <v>858</v>
      </c>
      <c r="G437" s="194">
        <f t="shared" si="146"/>
        <v>547</v>
      </c>
      <c r="H437" s="64"/>
      <c r="I437" s="64"/>
      <c r="J437" s="64"/>
      <c r="K437" s="52">
        <v>547</v>
      </c>
      <c r="L437" s="64"/>
      <c r="M437" s="19">
        <f t="shared" si="147"/>
        <v>490</v>
      </c>
      <c r="N437" s="145"/>
      <c r="O437" s="145"/>
      <c r="P437" s="145"/>
      <c r="Q437" s="145"/>
      <c r="R437" s="145"/>
      <c r="S437" s="19">
        <v>490</v>
      </c>
      <c r="T437" s="154"/>
      <c r="V437" s="6">
        <f t="shared" si="134"/>
        <v>0</v>
      </c>
    </row>
    <row r="438" spans="1:22" s="26" customFormat="1" ht="30">
      <c r="A438" s="30">
        <v>8</v>
      </c>
      <c r="B438" s="59" t="s">
        <v>859</v>
      </c>
      <c r="C438" s="31" t="s">
        <v>64</v>
      </c>
      <c r="D438" s="15"/>
      <c r="E438" s="32" t="s">
        <v>41</v>
      </c>
      <c r="F438" s="38" t="s">
        <v>860</v>
      </c>
      <c r="G438" s="194">
        <f t="shared" si="146"/>
        <v>424</v>
      </c>
      <c r="H438" s="64"/>
      <c r="I438" s="64"/>
      <c r="J438" s="64"/>
      <c r="K438" s="52">
        <v>424</v>
      </c>
      <c r="L438" s="64"/>
      <c r="M438" s="19">
        <f t="shared" si="147"/>
        <v>380</v>
      </c>
      <c r="N438" s="145"/>
      <c r="O438" s="145"/>
      <c r="P438" s="145"/>
      <c r="Q438" s="145"/>
      <c r="R438" s="145"/>
      <c r="S438" s="19">
        <v>380</v>
      </c>
      <c r="T438" s="154"/>
      <c r="V438" s="6">
        <f t="shared" si="134"/>
        <v>0</v>
      </c>
    </row>
    <row r="439" spans="1:22" s="26" customFormat="1" ht="60">
      <c r="A439" s="30">
        <v>9</v>
      </c>
      <c r="B439" s="72" t="s">
        <v>861</v>
      </c>
      <c r="C439" s="40" t="s">
        <v>58</v>
      </c>
      <c r="D439" s="15"/>
      <c r="E439" s="40" t="s">
        <v>47</v>
      </c>
      <c r="F439" s="38" t="s">
        <v>862</v>
      </c>
      <c r="G439" s="194">
        <f t="shared" si="146"/>
        <v>66</v>
      </c>
      <c r="H439" s="64"/>
      <c r="I439" s="64"/>
      <c r="J439" s="64"/>
      <c r="K439" s="195">
        <v>66</v>
      </c>
      <c r="L439" s="64"/>
      <c r="M439" s="19">
        <f t="shared" si="147"/>
        <v>60</v>
      </c>
      <c r="N439" s="145"/>
      <c r="O439" s="145"/>
      <c r="P439" s="145"/>
      <c r="Q439" s="145"/>
      <c r="R439" s="145"/>
      <c r="S439" s="19">
        <v>60</v>
      </c>
      <c r="T439" s="154"/>
      <c r="V439" s="6">
        <f t="shared" si="134"/>
        <v>0</v>
      </c>
    </row>
    <row r="440" spans="1:22" s="26" customFormat="1" ht="60">
      <c r="A440" s="30">
        <v>10</v>
      </c>
      <c r="B440" s="72" t="s">
        <v>863</v>
      </c>
      <c r="C440" s="40" t="s">
        <v>58</v>
      </c>
      <c r="D440" s="15"/>
      <c r="E440" s="40" t="s">
        <v>55</v>
      </c>
      <c r="F440" s="38" t="s">
        <v>864</v>
      </c>
      <c r="G440" s="194">
        <f t="shared" si="146"/>
        <v>159</v>
      </c>
      <c r="H440" s="64"/>
      <c r="I440" s="64"/>
      <c r="J440" s="64"/>
      <c r="K440" s="195">
        <v>159</v>
      </c>
      <c r="L440" s="64"/>
      <c r="M440" s="19">
        <f t="shared" si="147"/>
        <v>100</v>
      </c>
      <c r="N440" s="145"/>
      <c r="O440" s="145"/>
      <c r="P440" s="145"/>
      <c r="Q440" s="145"/>
      <c r="R440" s="145"/>
      <c r="S440" s="19">
        <v>100</v>
      </c>
      <c r="T440" s="154"/>
      <c r="V440" s="6">
        <f t="shared" si="134"/>
        <v>0</v>
      </c>
    </row>
    <row r="441" spans="1:22" s="26" customFormat="1" ht="60">
      <c r="A441" s="30">
        <v>11</v>
      </c>
      <c r="B441" s="72" t="s">
        <v>865</v>
      </c>
      <c r="C441" s="40" t="s">
        <v>52</v>
      </c>
      <c r="D441" s="15"/>
      <c r="E441" s="40" t="s">
        <v>55</v>
      </c>
      <c r="F441" s="38" t="s">
        <v>866</v>
      </c>
      <c r="G441" s="194">
        <f t="shared" si="146"/>
        <v>224</v>
      </c>
      <c r="H441" s="64"/>
      <c r="I441" s="64"/>
      <c r="J441" s="64"/>
      <c r="K441" s="195">
        <v>224</v>
      </c>
      <c r="L441" s="64"/>
      <c r="M441" s="19">
        <f t="shared" si="147"/>
        <v>224</v>
      </c>
      <c r="N441" s="145"/>
      <c r="O441" s="145"/>
      <c r="P441" s="145"/>
      <c r="Q441" s="145"/>
      <c r="R441" s="145"/>
      <c r="S441" s="19">
        <v>224</v>
      </c>
      <c r="T441" s="154"/>
      <c r="V441" s="6">
        <f t="shared" si="134"/>
        <v>0</v>
      </c>
    </row>
    <row r="442" spans="1:22" s="26" customFormat="1" ht="60">
      <c r="A442" s="30">
        <v>12</v>
      </c>
      <c r="B442" s="72" t="s">
        <v>867</v>
      </c>
      <c r="C442" s="40" t="s">
        <v>58</v>
      </c>
      <c r="D442" s="15"/>
      <c r="E442" s="40" t="s">
        <v>55</v>
      </c>
      <c r="F442" s="38" t="s">
        <v>868</v>
      </c>
      <c r="G442" s="194">
        <f t="shared" si="146"/>
        <v>489</v>
      </c>
      <c r="H442" s="64"/>
      <c r="I442" s="64"/>
      <c r="J442" s="64"/>
      <c r="K442" s="195">
        <v>489</v>
      </c>
      <c r="L442" s="64"/>
      <c r="M442" s="19">
        <f t="shared" si="147"/>
        <v>489</v>
      </c>
      <c r="N442" s="145"/>
      <c r="O442" s="145"/>
      <c r="P442" s="145"/>
      <c r="Q442" s="145"/>
      <c r="R442" s="145"/>
      <c r="S442" s="19">
        <v>489</v>
      </c>
      <c r="T442" s="154"/>
      <c r="V442" s="6">
        <f t="shared" si="134"/>
        <v>0</v>
      </c>
    </row>
    <row r="443" spans="1:22" s="26" customFormat="1" ht="74.25" customHeight="1">
      <c r="A443" s="30">
        <v>13</v>
      </c>
      <c r="B443" s="72" t="s">
        <v>869</v>
      </c>
      <c r="C443" s="40" t="s">
        <v>58</v>
      </c>
      <c r="D443" s="15"/>
      <c r="E443" s="40" t="s">
        <v>55</v>
      </c>
      <c r="F443" s="38" t="s">
        <v>870</v>
      </c>
      <c r="G443" s="194">
        <f t="shared" si="146"/>
        <v>473</v>
      </c>
      <c r="H443" s="64"/>
      <c r="I443" s="64"/>
      <c r="J443" s="64"/>
      <c r="K443" s="195">
        <v>473</v>
      </c>
      <c r="L443" s="64"/>
      <c r="M443" s="19">
        <f t="shared" si="147"/>
        <v>473</v>
      </c>
      <c r="N443" s="145"/>
      <c r="O443" s="145"/>
      <c r="P443" s="145"/>
      <c r="Q443" s="145"/>
      <c r="R443" s="145"/>
      <c r="S443" s="19">
        <v>473</v>
      </c>
      <c r="T443" s="154"/>
      <c r="V443" s="6">
        <f t="shared" si="134"/>
        <v>0</v>
      </c>
    </row>
    <row r="444" spans="1:22" s="158" customFormat="1">
      <c r="A444" s="468" t="s">
        <v>69</v>
      </c>
      <c r="B444" s="309" t="s">
        <v>871</v>
      </c>
      <c r="C444" s="248"/>
      <c r="D444" s="248"/>
      <c r="E444" s="248"/>
      <c r="F444" s="469">
        <f t="shared" ref="F444:T444" si="148">F445+F455+F461</f>
        <v>0</v>
      </c>
      <c r="G444" s="469">
        <f t="shared" si="148"/>
        <v>680198.90899999999</v>
      </c>
      <c r="H444" s="469">
        <f t="shared" si="148"/>
        <v>279365</v>
      </c>
      <c r="I444" s="469">
        <f t="shared" si="148"/>
        <v>0</v>
      </c>
      <c r="J444" s="469">
        <f t="shared" si="148"/>
        <v>0</v>
      </c>
      <c r="K444" s="469">
        <f t="shared" si="148"/>
        <v>400833.90899999999</v>
      </c>
      <c r="L444" s="469">
        <f t="shared" si="148"/>
        <v>284476</v>
      </c>
      <c r="M444" s="469">
        <f t="shared" si="148"/>
        <v>242714</v>
      </c>
      <c r="N444" s="470">
        <f t="shared" si="148"/>
        <v>0</v>
      </c>
      <c r="O444" s="470">
        <f t="shared" si="148"/>
        <v>0</v>
      </c>
      <c r="P444" s="470">
        <f t="shared" si="148"/>
        <v>0</v>
      </c>
      <c r="Q444" s="470">
        <f t="shared" si="148"/>
        <v>0</v>
      </c>
      <c r="R444" s="470">
        <f t="shared" si="148"/>
        <v>0</v>
      </c>
      <c r="S444" s="469">
        <f t="shared" si="148"/>
        <v>242714</v>
      </c>
      <c r="T444" s="471">
        <f t="shared" si="148"/>
        <v>0</v>
      </c>
      <c r="V444" s="6">
        <f t="shared" si="134"/>
        <v>0</v>
      </c>
    </row>
    <row r="445" spans="1:22" ht="28.5">
      <c r="A445" s="29" t="s">
        <v>71</v>
      </c>
      <c r="B445" s="47" t="s">
        <v>72</v>
      </c>
      <c r="C445" s="29"/>
      <c r="D445" s="29"/>
      <c r="E445" s="29"/>
      <c r="F445" s="167">
        <f t="shared" ref="F445:T445" si="149">SUM(F446:F454)</f>
        <v>0</v>
      </c>
      <c r="G445" s="167">
        <f t="shared" si="149"/>
        <v>312373.90899999999</v>
      </c>
      <c r="H445" s="167">
        <f t="shared" si="149"/>
        <v>74971</v>
      </c>
      <c r="I445" s="167">
        <f t="shared" si="149"/>
        <v>0</v>
      </c>
      <c r="J445" s="167">
        <f t="shared" si="149"/>
        <v>0</v>
      </c>
      <c r="K445" s="167">
        <f t="shared" si="149"/>
        <v>237402.90899999999</v>
      </c>
      <c r="L445" s="167">
        <f t="shared" si="149"/>
        <v>256548</v>
      </c>
      <c r="M445" s="168">
        <f t="shared" si="149"/>
        <v>18111</v>
      </c>
      <c r="N445" s="169">
        <f t="shared" si="149"/>
        <v>0</v>
      </c>
      <c r="O445" s="169">
        <f t="shared" si="149"/>
        <v>0</v>
      </c>
      <c r="P445" s="169">
        <f t="shared" si="149"/>
        <v>0</v>
      </c>
      <c r="Q445" s="169">
        <f t="shared" si="149"/>
        <v>0</v>
      </c>
      <c r="R445" s="169">
        <f t="shared" si="149"/>
        <v>0</v>
      </c>
      <c r="S445" s="168">
        <f t="shared" si="149"/>
        <v>18111</v>
      </c>
      <c r="T445" s="170">
        <f t="shared" si="149"/>
        <v>0</v>
      </c>
      <c r="V445" s="6">
        <f t="shared" si="134"/>
        <v>0</v>
      </c>
    </row>
    <row r="446" spans="1:22" ht="30">
      <c r="A446" s="53">
        <v>1</v>
      </c>
      <c r="B446" s="59" t="s">
        <v>872</v>
      </c>
      <c r="C446" s="53" t="s">
        <v>40</v>
      </c>
      <c r="D446" s="53" t="s">
        <v>26</v>
      </c>
      <c r="E446" s="53" t="s">
        <v>873</v>
      </c>
      <c r="F446" s="53" t="s">
        <v>874</v>
      </c>
      <c r="G446" s="54">
        <f>SUM(H446:K446)</f>
        <v>99633</v>
      </c>
      <c r="H446" s="54">
        <v>74971</v>
      </c>
      <c r="I446" s="54"/>
      <c r="J446" s="54"/>
      <c r="K446" s="54">
        <v>24662</v>
      </c>
      <c r="L446" s="54">
        <v>74971</v>
      </c>
      <c r="M446" s="57">
        <f t="shared" ref="M446:M454" si="150">SUM(N446:S446)</f>
        <v>15672</v>
      </c>
      <c r="N446" s="61"/>
      <c r="O446" s="61"/>
      <c r="P446" s="61"/>
      <c r="Q446" s="61"/>
      <c r="R446" s="61"/>
      <c r="S446" s="57">
        <v>15672</v>
      </c>
      <c r="T446" s="37"/>
      <c r="V446" s="6">
        <f t="shared" si="134"/>
        <v>0</v>
      </c>
    </row>
    <row r="447" spans="1:22" ht="30">
      <c r="A447" s="53">
        <v>2</v>
      </c>
      <c r="B447" s="59" t="s">
        <v>875</v>
      </c>
      <c r="C447" s="53" t="s">
        <v>40</v>
      </c>
      <c r="D447" s="53" t="s">
        <v>31</v>
      </c>
      <c r="E447" s="53" t="s">
        <v>80</v>
      </c>
      <c r="F447" s="53" t="s">
        <v>876</v>
      </c>
      <c r="G447" s="54">
        <f>SUM(H447:K447)</f>
        <v>10466</v>
      </c>
      <c r="H447" s="54"/>
      <c r="I447" s="54"/>
      <c r="J447" s="54"/>
      <c r="K447" s="54">
        <v>10466</v>
      </c>
      <c r="L447" s="54">
        <v>8995</v>
      </c>
      <c r="M447" s="57">
        <f t="shared" si="150"/>
        <v>718</v>
      </c>
      <c r="N447" s="61"/>
      <c r="O447" s="61"/>
      <c r="P447" s="61"/>
      <c r="Q447" s="61"/>
      <c r="R447" s="61"/>
      <c r="S447" s="68">
        <v>718</v>
      </c>
      <c r="T447" s="37"/>
      <c r="V447" s="6">
        <f t="shared" si="134"/>
        <v>0</v>
      </c>
    </row>
    <row r="448" spans="1:22" ht="30">
      <c r="A448" s="53">
        <v>3</v>
      </c>
      <c r="B448" s="72" t="s">
        <v>877</v>
      </c>
      <c r="C448" s="72" t="s">
        <v>46</v>
      </c>
      <c r="D448" s="40" t="s">
        <v>31</v>
      </c>
      <c r="E448" s="53" t="s">
        <v>227</v>
      </c>
      <c r="F448" s="53" t="s">
        <v>878</v>
      </c>
      <c r="G448" s="54">
        <f>SUM(H448:K448)</f>
        <v>25184.909</v>
      </c>
      <c r="H448" s="98"/>
      <c r="I448" s="98"/>
      <c r="J448" s="98"/>
      <c r="K448" s="98">
        <v>25184.909</v>
      </c>
      <c r="L448" s="113">
        <v>22290</v>
      </c>
      <c r="M448" s="57">
        <f t="shared" si="150"/>
        <v>755</v>
      </c>
      <c r="N448" s="114"/>
      <c r="O448" s="114"/>
      <c r="P448" s="114"/>
      <c r="Q448" s="114"/>
      <c r="R448" s="114"/>
      <c r="S448" s="115">
        <v>755</v>
      </c>
      <c r="T448" s="37"/>
      <c r="V448" s="6">
        <f t="shared" si="134"/>
        <v>0</v>
      </c>
    </row>
    <row r="449" spans="1:22" ht="75">
      <c r="A449" s="53">
        <v>4</v>
      </c>
      <c r="B449" s="72" t="s">
        <v>879</v>
      </c>
      <c r="C449" s="53" t="s">
        <v>52</v>
      </c>
      <c r="D449" s="40" t="s">
        <v>31</v>
      </c>
      <c r="E449" s="53" t="s">
        <v>880</v>
      </c>
      <c r="F449" s="53" t="s">
        <v>881</v>
      </c>
      <c r="G449" s="93">
        <v>13627</v>
      </c>
      <c r="H449" s="98"/>
      <c r="I449" s="98"/>
      <c r="J449" s="98"/>
      <c r="K449" s="93">
        <v>13627</v>
      </c>
      <c r="L449" s="93">
        <v>13589</v>
      </c>
      <c r="M449" s="57">
        <f t="shared" si="150"/>
        <v>39</v>
      </c>
      <c r="N449" s="114"/>
      <c r="O449" s="114"/>
      <c r="P449" s="114"/>
      <c r="Q449" s="114"/>
      <c r="R449" s="114"/>
      <c r="S449" s="122">
        <v>39</v>
      </c>
      <c r="T449" s="94" t="s">
        <v>882</v>
      </c>
      <c r="V449" s="6">
        <f t="shared" si="134"/>
        <v>0</v>
      </c>
    </row>
    <row r="450" spans="1:22" ht="60">
      <c r="A450" s="53">
        <v>5</v>
      </c>
      <c r="B450" s="72" t="s">
        <v>883</v>
      </c>
      <c r="C450" s="53" t="s">
        <v>58</v>
      </c>
      <c r="D450" s="40" t="s">
        <v>26</v>
      </c>
      <c r="E450" s="53" t="s">
        <v>884</v>
      </c>
      <c r="F450" s="53" t="s">
        <v>885</v>
      </c>
      <c r="G450" s="93">
        <v>120835</v>
      </c>
      <c r="H450" s="98"/>
      <c r="I450" s="98"/>
      <c r="J450" s="98"/>
      <c r="K450" s="93">
        <v>120835</v>
      </c>
      <c r="L450" s="93">
        <v>94901</v>
      </c>
      <c r="M450" s="57">
        <f t="shared" si="150"/>
        <v>203</v>
      </c>
      <c r="N450" s="114"/>
      <c r="O450" s="114"/>
      <c r="P450" s="114"/>
      <c r="Q450" s="114"/>
      <c r="R450" s="114"/>
      <c r="S450" s="122">
        <v>203</v>
      </c>
      <c r="T450" s="94" t="s">
        <v>886</v>
      </c>
      <c r="V450" s="6">
        <f t="shared" si="134"/>
        <v>0</v>
      </c>
    </row>
    <row r="451" spans="1:22" ht="30">
      <c r="A451" s="53">
        <v>6</v>
      </c>
      <c r="B451" s="59" t="s">
        <v>887</v>
      </c>
      <c r="C451" s="53" t="s">
        <v>136</v>
      </c>
      <c r="D451" s="53" t="s">
        <v>31</v>
      </c>
      <c r="E451" s="53" t="s">
        <v>880</v>
      </c>
      <c r="F451" s="53" t="s">
        <v>888</v>
      </c>
      <c r="G451" s="54">
        <f>SUM(H451:K451)</f>
        <v>6655</v>
      </c>
      <c r="H451" s="54"/>
      <c r="I451" s="54"/>
      <c r="J451" s="54"/>
      <c r="K451" s="54">
        <v>6655</v>
      </c>
      <c r="L451" s="54">
        <v>6550</v>
      </c>
      <c r="M451" s="57">
        <f t="shared" si="150"/>
        <v>25</v>
      </c>
      <c r="N451" s="61"/>
      <c r="O451" s="61"/>
      <c r="P451" s="61"/>
      <c r="Q451" s="61"/>
      <c r="R451" s="61"/>
      <c r="S451" s="68">
        <v>25</v>
      </c>
      <c r="T451" s="37"/>
      <c r="V451" s="6">
        <f t="shared" si="134"/>
        <v>0</v>
      </c>
    </row>
    <row r="452" spans="1:22" ht="60">
      <c r="A452" s="53">
        <v>7</v>
      </c>
      <c r="B452" s="196" t="s">
        <v>889</v>
      </c>
      <c r="C452" s="53" t="s">
        <v>64</v>
      </c>
      <c r="D452" s="53" t="s">
        <v>31</v>
      </c>
      <c r="E452" s="53" t="s">
        <v>331</v>
      </c>
      <c r="F452" s="197" t="s">
        <v>890</v>
      </c>
      <c r="G452" s="54">
        <f t="shared" ref="G452:G454" si="151">SUM(H452:K452)</f>
        <v>20464</v>
      </c>
      <c r="H452" s="54"/>
      <c r="I452" s="54"/>
      <c r="J452" s="54"/>
      <c r="K452" s="54">
        <v>20464</v>
      </c>
      <c r="L452" s="54">
        <v>20427</v>
      </c>
      <c r="M452" s="57">
        <f t="shared" si="150"/>
        <v>494</v>
      </c>
      <c r="N452" s="61"/>
      <c r="O452" s="61"/>
      <c r="P452" s="61"/>
      <c r="Q452" s="61"/>
      <c r="R452" s="61"/>
      <c r="S452" s="68">
        <f>38+456</f>
        <v>494</v>
      </c>
      <c r="T452" s="37"/>
      <c r="V452" s="6">
        <f t="shared" si="134"/>
        <v>0</v>
      </c>
    </row>
    <row r="453" spans="1:22" ht="60">
      <c r="A453" s="53">
        <v>8</v>
      </c>
      <c r="B453" s="196" t="s">
        <v>891</v>
      </c>
      <c r="C453" s="53" t="s">
        <v>67</v>
      </c>
      <c r="D453" s="53" t="s">
        <v>31</v>
      </c>
      <c r="E453" s="53" t="s">
        <v>331</v>
      </c>
      <c r="F453" s="197" t="s">
        <v>892</v>
      </c>
      <c r="G453" s="54">
        <f t="shared" si="151"/>
        <v>4502</v>
      </c>
      <c r="H453" s="54"/>
      <c r="I453" s="54"/>
      <c r="J453" s="54"/>
      <c r="K453" s="54">
        <v>4502</v>
      </c>
      <c r="L453" s="54">
        <v>4488</v>
      </c>
      <c r="M453" s="57">
        <f t="shared" si="150"/>
        <v>13</v>
      </c>
      <c r="N453" s="61"/>
      <c r="O453" s="61"/>
      <c r="P453" s="61"/>
      <c r="Q453" s="61"/>
      <c r="R453" s="61"/>
      <c r="S453" s="68">
        <v>13</v>
      </c>
      <c r="T453" s="37"/>
      <c r="V453" s="6">
        <f t="shared" si="134"/>
        <v>0</v>
      </c>
    </row>
    <row r="454" spans="1:22" ht="60">
      <c r="A454" s="53">
        <v>9</v>
      </c>
      <c r="B454" s="196" t="s">
        <v>893</v>
      </c>
      <c r="C454" s="53" t="s">
        <v>58</v>
      </c>
      <c r="D454" s="53" t="s">
        <v>31</v>
      </c>
      <c r="E454" s="53" t="s">
        <v>466</v>
      </c>
      <c r="F454" s="197" t="s">
        <v>894</v>
      </c>
      <c r="G454" s="54">
        <f t="shared" si="151"/>
        <v>11007</v>
      </c>
      <c r="H454" s="54"/>
      <c r="I454" s="54"/>
      <c r="J454" s="54"/>
      <c r="K454" s="54">
        <v>11007</v>
      </c>
      <c r="L454" s="54">
        <v>10337</v>
      </c>
      <c r="M454" s="57">
        <f t="shared" si="150"/>
        <v>192</v>
      </c>
      <c r="N454" s="61"/>
      <c r="O454" s="61"/>
      <c r="P454" s="61"/>
      <c r="Q454" s="61"/>
      <c r="R454" s="61"/>
      <c r="S454" s="68">
        <v>192</v>
      </c>
      <c r="T454" s="37"/>
      <c r="V454" s="6">
        <f t="shared" si="134"/>
        <v>0</v>
      </c>
    </row>
    <row r="455" spans="1:22">
      <c r="A455" s="46" t="s">
        <v>82</v>
      </c>
      <c r="B455" s="47" t="s">
        <v>83</v>
      </c>
      <c r="C455" s="29"/>
      <c r="D455" s="29"/>
      <c r="E455" s="29"/>
      <c r="F455" s="29"/>
      <c r="G455" s="167">
        <f t="shared" ref="G455:T455" si="152">SUM(G456:G460)</f>
        <v>323560</v>
      </c>
      <c r="H455" s="167">
        <f t="shared" si="152"/>
        <v>204394</v>
      </c>
      <c r="I455" s="167">
        <f t="shared" si="152"/>
        <v>0</v>
      </c>
      <c r="J455" s="167">
        <f t="shared" si="152"/>
        <v>0</v>
      </c>
      <c r="K455" s="167">
        <f t="shared" si="152"/>
        <v>119166</v>
      </c>
      <c r="L455" s="167">
        <f t="shared" si="152"/>
        <v>27928</v>
      </c>
      <c r="M455" s="168">
        <f t="shared" si="152"/>
        <v>87300</v>
      </c>
      <c r="N455" s="169">
        <f t="shared" si="152"/>
        <v>0</v>
      </c>
      <c r="O455" s="169">
        <f t="shared" si="152"/>
        <v>0</v>
      </c>
      <c r="P455" s="169">
        <f t="shared" si="152"/>
        <v>0</v>
      </c>
      <c r="Q455" s="169">
        <f t="shared" si="152"/>
        <v>0</v>
      </c>
      <c r="R455" s="169">
        <f t="shared" si="152"/>
        <v>0</v>
      </c>
      <c r="S455" s="168">
        <f t="shared" si="152"/>
        <v>87300</v>
      </c>
      <c r="T455" s="170">
        <f t="shared" si="152"/>
        <v>0</v>
      </c>
      <c r="V455" s="6">
        <f t="shared" si="134"/>
        <v>0</v>
      </c>
    </row>
    <row r="456" spans="1:22" ht="30">
      <c r="A456" s="53">
        <v>1</v>
      </c>
      <c r="B456" s="59" t="s">
        <v>895</v>
      </c>
      <c r="C456" s="53" t="s">
        <v>64</v>
      </c>
      <c r="D456" s="53" t="s">
        <v>31</v>
      </c>
      <c r="E456" s="53" t="s">
        <v>242</v>
      </c>
      <c r="F456" s="53" t="s">
        <v>896</v>
      </c>
      <c r="G456" s="54">
        <f>SUM(H456:K456)</f>
        <v>86172</v>
      </c>
      <c r="H456" s="54">
        <v>43172</v>
      </c>
      <c r="I456" s="54"/>
      <c r="J456" s="54"/>
      <c r="K456" s="54">
        <v>43000</v>
      </c>
      <c r="L456" s="113">
        <v>17386</v>
      </c>
      <c r="M456" s="57">
        <f>SUM(N456:S456)</f>
        <v>25701</v>
      </c>
      <c r="N456" s="61"/>
      <c r="O456" s="61"/>
      <c r="P456" s="61"/>
      <c r="Q456" s="61"/>
      <c r="R456" s="114"/>
      <c r="S456" s="115">
        <v>25701</v>
      </c>
      <c r="T456" s="37"/>
      <c r="V456" s="6">
        <f t="shared" si="134"/>
        <v>0</v>
      </c>
    </row>
    <row r="457" spans="1:22" ht="30">
      <c r="A457" s="53">
        <v>2</v>
      </c>
      <c r="B457" s="59" t="s">
        <v>897</v>
      </c>
      <c r="C457" s="53" t="s">
        <v>58</v>
      </c>
      <c r="D457" s="53" t="s">
        <v>31</v>
      </c>
      <c r="E457" s="53" t="s">
        <v>238</v>
      </c>
      <c r="F457" s="53" t="s">
        <v>898</v>
      </c>
      <c r="G457" s="54">
        <f>SUM(H457:K457)</f>
        <v>37964</v>
      </c>
      <c r="H457" s="54">
        <v>18982</v>
      </c>
      <c r="I457" s="54"/>
      <c r="J457" s="54"/>
      <c r="K457" s="54">
        <v>18982</v>
      </c>
      <c r="L457" s="113">
        <v>10462</v>
      </c>
      <c r="M457" s="57">
        <f>SUM(N457:S457)</f>
        <v>8520</v>
      </c>
      <c r="N457" s="61"/>
      <c r="O457" s="61"/>
      <c r="P457" s="61"/>
      <c r="Q457" s="61"/>
      <c r="R457" s="114"/>
      <c r="S457" s="115">
        <v>8520</v>
      </c>
      <c r="T457" s="37"/>
      <c r="V457" s="6">
        <f t="shared" si="134"/>
        <v>0</v>
      </c>
    </row>
    <row r="458" spans="1:22" ht="45">
      <c r="A458" s="53">
        <v>3</v>
      </c>
      <c r="B458" s="72" t="s">
        <v>899</v>
      </c>
      <c r="C458" s="53" t="s">
        <v>67</v>
      </c>
      <c r="D458" s="40" t="s">
        <v>31</v>
      </c>
      <c r="E458" s="53" t="s">
        <v>242</v>
      </c>
      <c r="F458" s="53" t="s">
        <v>900</v>
      </c>
      <c r="G458" s="93">
        <v>3418</v>
      </c>
      <c r="H458" s="109"/>
      <c r="I458" s="54"/>
      <c r="J458" s="109"/>
      <c r="K458" s="93">
        <v>3418</v>
      </c>
      <c r="L458" s="54"/>
      <c r="M458" s="57">
        <f>SUM(N458:S458)</f>
        <v>1088</v>
      </c>
      <c r="N458" s="61"/>
      <c r="O458" s="61"/>
      <c r="P458" s="61"/>
      <c r="Q458" s="61"/>
      <c r="R458" s="61"/>
      <c r="S458" s="122">
        <v>1088</v>
      </c>
      <c r="T458" s="37"/>
      <c r="V458" s="6">
        <f t="shared" si="134"/>
        <v>0</v>
      </c>
    </row>
    <row r="459" spans="1:22" ht="30">
      <c r="A459" s="53">
        <v>4</v>
      </c>
      <c r="B459" s="59" t="s">
        <v>901</v>
      </c>
      <c r="C459" s="53" t="s">
        <v>67</v>
      </c>
      <c r="D459" s="53" t="s">
        <v>31</v>
      </c>
      <c r="E459" s="53" t="s">
        <v>238</v>
      </c>
      <c r="F459" s="53" t="s">
        <v>902</v>
      </c>
      <c r="G459" s="54">
        <f>SUM(H459:K459)</f>
        <v>10905</v>
      </c>
      <c r="H459" s="54"/>
      <c r="I459" s="54"/>
      <c r="J459" s="54"/>
      <c r="K459" s="54">
        <v>10905</v>
      </c>
      <c r="L459" s="54">
        <v>80</v>
      </c>
      <c r="M459" s="57">
        <f>SUM(N459:S459)</f>
        <v>9800</v>
      </c>
      <c r="N459" s="61"/>
      <c r="O459" s="61"/>
      <c r="P459" s="61"/>
      <c r="Q459" s="61"/>
      <c r="R459" s="61"/>
      <c r="S459" s="68">
        <v>9800</v>
      </c>
      <c r="T459" s="37"/>
      <c r="V459" s="6">
        <f t="shared" si="134"/>
        <v>0</v>
      </c>
    </row>
    <row r="460" spans="1:22" ht="85.5" customHeight="1">
      <c r="A460" s="53">
        <v>5</v>
      </c>
      <c r="B460" s="16" t="s">
        <v>903</v>
      </c>
      <c r="C460" s="53" t="s">
        <v>904</v>
      </c>
      <c r="D460" s="40" t="s">
        <v>26</v>
      </c>
      <c r="E460" s="53" t="s">
        <v>905</v>
      </c>
      <c r="F460" s="41" t="s">
        <v>906</v>
      </c>
      <c r="G460" s="54">
        <f>SUM(H460:K460)</f>
        <v>185101</v>
      </c>
      <c r="H460" s="491">
        <v>142240</v>
      </c>
      <c r="I460" s="14"/>
      <c r="J460" s="14"/>
      <c r="K460" s="491">
        <f>670+42191</f>
        <v>42861</v>
      </c>
      <c r="L460" s="54"/>
      <c r="M460" s="57">
        <f>SUM(N460:S460)</f>
        <v>42191</v>
      </c>
      <c r="N460" s="61"/>
      <c r="O460" s="61"/>
      <c r="P460" s="61"/>
      <c r="Q460" s="61"/>
      <c r="R460" s="61"/>
      <c r="S460" s="122">
        <v>42191</v>
      </c>
      <c r="T460" s="37"/>
      <c r="V460" s="6">
        <f t="shared" si="134"/>
        <v>0</v>
      </c>
    </row>
    <row r="461" spans="1:22">
      <c r="A461" s="46" t="s">
        <v>102</v>
      </c>
      <c r="B461" s="47" t="s">
        <v>103</v>
      </c>
      <c r="C461" s="29"/>
      <c r="D461" s="29"/>
      <c r="E461" s="29"/>
      <c r="F461" s="28">
        <f t="shared" ref="F461:T461" si="153">SUM(F462:F469)</f>
        <v>0</v>
      </c>
      <c r="G461" s="28">
        <f t="shared" si="153"/>
        <v>44265</v>
      </c>
      <c r="H461" s="28">
        <f t="shared" si="153"/>
        <v>0</v>
      </c>
      <c r="I461" s="28">
        <f t="shared" si="153"/>
        <v>0</v>
      </c>
      <c r="J461" s="28">
        <f t="shared" si="153"/>
        <v>0</v>
      </c>
      <c r="K461" s="28">
        <f t="shared" si="153"/>
        <v>44265</v>
      </c>
      <c r="L461" s="28">
        <f t="shared" si="153"/>
        <v>0</v>
      </c>
      <c r="M461" s="28">
        <f t="shared" si="153"/>
        <v>137303</v>
      </c>
      <c r="N461" s="36">
        <f t="shared" si="153"/>
        <v>0</v>
      </c>
      <c r="O461" s="36">
        <f t="shared" si="153"/>
        <v>0</v>
      </c>
      <c r="P461" s="36">
        <f t="shared" si="153"/>
        <v>0</v>
      </c>
      <c r="Q461" s="36"/>
      <c r="R461" s="36">
        <f t="shared" si="153"/>
        <v>0</v>
      </c>
      <c r="S461" s="28">
        <f t="shared" si="153"/>
        <v>137303</v>
      </c>
      <c r="T461" s="70">
        <f t="shared" si="153"/>
        <v>0</v>
      </c>
      <c r="V461" s="6">
        <f t="shared" si="134"/>
        <v>0</v>
      </c>
    </row>
    <row r="462" spans="1:22" ht="30">
      <c r="A462" s="452">
        <v>1</v>
      </c>
      <c r="B462" s="453" t="s">
        <v>2782</v>
      </c>
      <c r="C462" s="452"/>
      <c r="D462" s="452"/>
      <c r="E462" s="452"/>
      <c r="F462" s="452"/>
      <c r="G462" s="454"/>
      <c r="H462" s="455"/>
      <c r="I462" s="455"/>
      <c r="J462" s="455"/>
      <c r="K462" s="454"/>
      <c r="L462" s="455"/>
      <c r="M462" s="456">
        <f>SUM(N462:S462)</f>
        <v>48654</v>
      </c>
      <c r="N462" s="457"/>
      <c r="O462" s="457"/>
      <c r="P462" s="457"/>
      <c r="Q462" s="457"/>
      <c r="R462" s="457"/>
      <c r="S462" s="458">
        <f>49742-1088</f>
        <v>48654</v>
      </c>
      <c r="T462" s="459" t="s">
        <v>2783</v>
      </c>
      <c r="V462" s="6">
        <f t="shared" si="134"/>
        <v>0</v>
      </c>
    </row>
    <row r="463" spans="1:22" ht="30">
      <c r="A463" s="452">
        <v>2</v>
      </c>
      <c r="B463" s="453" t="s">
        <v>2782</v>
      </c>
      <c r="C463" s="452"/>
      <c r="D463" s="452"/>
      <c r="E463" s="452"/>
      <c r="F463" s="460"/>
      <c r="G463" s="461"/>
      <c r="H463" s="455"/>
      <c r="I463" s="455"/>
      <c r="J463" s="455"/>
      <c r="K463" s="461"/>
      <c r="L463" s="455"/>
      <c r="M463" s="456">
        <f>SUM(N463:S463)</f>
        <v>10962</v>
      </c>
      <c r="N463" s="457"/>
      <c r="O463" s="457"/>
      <c r="P463" s="457"/>
      <c r="Q463" s="457"/>
      <c r="R463" s="457"/>
      <c r="S463" s="458">
        <f>11940-978</f>
        <v>10962</v>
      </c>
      <c r="T463" s="459" t="s">
        <v>2783</v>
      </c>
      <c r="V463" s="6">
        <f t="shared" si="134"/>
        <v>0</v>
      </c>
    </row>
    <row r="464" spans="1:22" ht="45">
      <c r="A464" s="53">
        <v>3</v>
      </c>
      <c r="B464" s="59" t="s">
        <v>845</v>
      </c>
      <c r="C464" s="53" t="s">
        <v>64</v>
      </c>
      <c r="D464" s="53"/>
      <c r="E464" s="53" t="s">
        <v>283</v>
      </c>
      <c r="F464" s="53" t="s">
        <v>907</v>
      </c>
      <c r="G464" s="54">
        <v>14735</v>
      </c>
      <c r="H464" s="54"/>
      <c r="I464" s="54"/>
      <c r="J464" s="54"/>
      <c r="K464" s="54">
        <v>14735</v>
      </c>
      <c r="L464" s="54"/>
      <c r="M464" s="57">
        <f>SUM(N464:S464)</f>
        <v>14164</v>
      </c>
      <c r="N464" s="61"/>
      <c r="O464" s="61"/>
      <c r="P464" s="61"/>
      <c r="Q464" s="61"/>
      <c r="R464" s="61"/>
      <c r="S464" s="111">
        <v>14164</v>
      </c>
      <c r="T464" s="37"/>
      <c r="V464" s="6">
        <f t="shared" si="134"/>
        <v>0</v>
      </c>
    </row>
    <row r="465" spans="1:22" ht="30">
      <c r="A465" s="452">
        <v>4</v>
      </c>
      <c r="B465" s="453" t="s">
        <v>2782</v>
      </c>
      <c r="C465" s="452"/>
      <c r="D465" s="462"/>
      <c r="E465" s="452"/>
      <c r="F465" s="462"/>
      <c r="G465" s="455"/>
      <c r="H465" s="455"/>
      <c r="I465" s="455"/>
      <c r="J465" s="455"/>
      <c r="K465" s="455"/>
      <c r="L465" s="455"/>
      <c r="M465" s="456">
        <f>SUM(N465:S465)</f>
        <v>24163</v>
      </c>
      <c r="N465" s="457"/>
      <c r="O465" s="457"/>
      <c r="P465" s="457"/>
      <c r="Q465" s="457"/>
      <c r="R465" s="457"/>
      <c r="S465" s="463">
        <v>24163</v>
      </c>
      <c r="T465" s="459" t="s">
        <v>2783</v>
      </c>
      <c r="V465" s="6">
        <f t="shared" si="134"/>
        <v>0</v>
      </c>
    </row>
    <row r="466" spans="1:22" ht="30">
      <c r="A466" s="452">
        <v>5</v>
      </c>
      <c r="B466" s="453" t="s">
        <v>2782</v>
      </c>
      <c r="C466" s="462"/>
      <c r="D466" s="462"/>
      <c r="E466" s="452"/>
      <c r="F466" s="462"/>
      <c r="G466" s="455"/>
      <c r="H466" s="464"/>
      <c r="I466" s="464"/>
      <c r="J466" s="464"/>
      <c r="K466" s="455"/>
      <c r="L466" s="455"/>
      <c r="M466" s="456">
        <f>SUM(N466:S466)</f>
        <v>10738</v>
      </c>
      <c r="N466" s="457"/>
      <c r="O466" s="457"/>
      <c r="P466" s="457"/>
      <c r="Q466" s="457"/>
      <c r="R466" s="457"/>
      <c r="S466" s="463">
        <v>10738</v>
      </c>
      <c r="T466" s="459" t="s">
        <v>2783</v>
      </c>
      <c r="V466" s="6">
        <f t="shared" si="134"/>
        <v>0</v>
      </c>
    </row>
    <row r="467" spans="1:22" ht="30">
      <c r="A467" s="53">
        <v>6</v>
      </c>
      <c r="B467" s="59" t="s">
        <v>857</v>
      </c>
      <c r="C467" s="53" t="s">
        <v>58</v>
      </c>
      <c r="D467" s="53"/>
      <c r="E467" s="53" t="s">
        <v>283</v>
      </c>
      <c r="F467" s="53" t="s">
        <v>908</v>
      </c>
      <c r="G467" s="54">
        <v>11568</v>
      </c>
      <c r="H467" s="54"/>
      <c r="I467" s="54"/>
      <c r="J467" s="54"/>
      <c r="K467" s="54">
        <v>11568</v>
      </c>
      <c r="L467" s="54"/>
      <c r="M467" s="57">
        <f t="shared" ref="M467:M469" si="154">SUM(N467:S467)</f>
        <v>11078</v>
      </c>
      <c r="N467" s="61"/>
      <c r="O467" s="61"/>
      <c r="P467" s="61"/>
      <c r="Q467" s="61"/>
      <c r="R467" s="61"/>
      <c r="S467" s="111">
        <f>11726-648</f>
        <v>11078</v>
      </c>
      <c r="T467" s="37"/>
      <c r="V467" s="6">
        <f t="shared" si="134"/>
        <v>0</v>
      </c>
    </row>
    <row r="468" spans="1:22" ht="30">
      <c r="A468" s="53">
        <v>7</v>
      </c>
      <c r="B468" s="59" t="s">
        <v>909</v>
      </c>
      <c r="C468" s="53" t="s">
        <v>64</v>
      </c>
      <c r="D468" s="53"/>
      <c r="E468" s="53" t="s">
        <v>283</v>
      </c>
      <c r="F468" s="53" t="s">
        <v>910</v>
      </c>
      <c r="G468" s="54">
        <v>8492</v>
      </c>
      <c r="H468" s="54"/>
      <c r="I468" s="54"/>
      <c r="J468" s="54"/>
      <c r="K468" s="54">
        <v>8492</v>
      </c>
      <c r="L468" s="54"/>
      <c r="M468" s="57">
        <f t="shared" si="154"/>
        <v>8124</v>
      </c>
      <c r="N468" s="61"/>
      <c r="O468" s="61"/>
      <c r="P468" s="61"/>
      <c r="Q468" s="61"/>
      <c r="R468" s="61"/>
      <c r="S468" s="111">
        <v>8124</v>
      </c>
      <c r="T468" s="37"/>
      <c r="V468" s="6">
        <f t="shared" ref="V468:V531" si="155">G468-H468-I468-J468-K468</f>
        <v>0</v>
      </c>
    </row>
    <row r="469" spans="1:22" ht="60">
      <c r="A469" s="53">
        <v>8</v>
      </c>
      <c r="B469" s="16" t="s">
        <v>911</v>
      </c>
      <c r="C469" s="53" t="s">
        <v>40</v>
      </c>
      <c r="D469" s="53" t="s">
        <v>31</v>
      </c>
      <c r="E469" s="53" t="s">
        <v>55</v>
      </c>
      <c r="F469" s="198" t="s">
        <v>912</v>
      </c>
      <c r="G469" s="54">
        <f t="shared" ref="G469" si="156">SUM(H469:K469)</f>
        <v>9470</v>
      </c>
      <c r="H469" s="54"/>
      <c r="I469" s="54"/>
      <c r="J469" s="54"/>
      <c r="K469" s="54">
        <v>9470</v>
      </c>
      <c r="L469" s="54"/>
      <c r="M469" s="57">
        <f t="shared" si="154"/>
        <v>9420</v>
      </c>
      <c r="N469" s="61"/>
      <c r="O469" s="61"/>
      <c r="P469" s="61"/>
      <c r="Q469" s="61"/>
      <c r="R469" s="61"/>
      <c r="S469" s="111">
        <v>9420</v>
      </c>
      <c r="T469" s="37"/>
      <c r="V469" s="6">
        <f t="shared" si="155"/>
        <v>0</v>
      </c>
    </row>
    <row r="470" spans="1:22" s="188" customFormat="1">
      <c r="A470" s="199" t="s">
        <v>913</v>
      </c>
      <c r="B470" s="47" t="s">
        <v>914</v>
      </c>
      <c r="C470" s="29"/>
      <c r="D470" s="29"/>
      <c r="E470" s="29"/>
      <c r="F470" s="48">
        <f t="shared" ref="F470:T472" si="157">F471</f>
        <v>0</v>
      </c>
      <c r="G470" s="48">
        <f t="shared" si="157"/>
        <v>146906</v>
      </c>
      <c r="H470" s="48">
        <f t="shared" si="157"/>
        <v>0</v>
      </c>
      <c r="I470" s="48">
        <f t="shared" si="157"/>
        <v>0</v>
      </c>
      <c r="J470" s="48">
        <f t="shared" si="157"/>
        <v>0</v>
      </c>
      <c r="K470" s="48">
        <f t="shared" si="157"/>
        <v>146906</v>
      </c>
      <c r="L470" s="48">
        <f t="shared" si="157"/>
        <v>300</v>
      </c>
      <c r="M470" s="48">
        <f t="shared" si="157"/>
        <v>142138</v>
      </c>
      <c r="N470" s="49">
        <f t="shared" si="157"/>
        <v>0</v>
      </c>
      <c r="O470" s="49">
        <f t="shared" si="157"/>
        <v>0</v>
      </c>
      <c r="P470" s="49">
        <f t="shared" si="157"/>
        <v>0</v>
      </c>
      <c r="Q470" s="49">
        <f t="shared" si="157"/>
        <v>0</v>
      </c>
      <c r="R470" s="49">
        <f t="shared" si="157"/>
        <v>0</v>
      </c>
      <c r="S470" s="48">
        <f t="shared" si="157"/>
        <v>142138</v>
      </c>
      <c r="T470" s="50">
        <f t="shared" si="157"/>
        <v>0</v>
      </c>
      <c r="V470" s="6">
        <f t="shared" si="155"/>
        <v>0</v>
      </c>
    </row>
    <row r="471" spans="1:22" s="188" customFormat="1">
      <c r="A471" s="199" t="s">
        <v>69</v>
      </c>
      <c r="B471" s="47" t="s">
        <v>871</v>
      </c>
      <c r="C471" s="29"/>
      <c r="D471" s="29"/>
      <c r="E471" s="29"/>
      <c r="F471" s="48">
        <f t="shared" si="157"/>
        <v>0</v>
      </c>
      <c r="G471" s="48">
        <f t="shared" si="157"/>
        <v>146906</v>
      </c>
      <c r="H471" s="48">
        <f t="shared" si="157"/>
        <v>0</v>
      </c>
      <c r="I471" s="48">
        <f t="shared" si="157"/>
        <v>0</v>
      </c>
      <c r="J471" s="48">
        <f t="shared" si="157"/>
        <v>0</v>
      </c>
      <c r="K471" s="48">
        <f t="shared" si="157"/>
        <v>146906</v>
      </c>
      <c r="L471" s="48">
        <f t="shared" si="157"/>
        <v>300</v>
      </c>
      <c r="M471" s="48">
        <f t="shared" si="157"/>
        <v>142138</v>
      </c>
      <c r="N471" s="49">
        <f t="shared" si="157"/>
        <v>0</v>
      </c>
      <c r="O471" s="49">
        <f t="shared" si="157"/>
        <v>0</v>
      </c>
      <c r="P471" s="49">
        <f t="shared" si="157"/>
        <v>0</v>
      </c>
      <c r="Q471" s="49">
        <f t="shared" si="157"/>
        <v>0</v>
      </c>
      <c r="R471" s="49">
        <f t="shared" si="157"/>
        <v>0</v>
      </c>
      <c r="S471" s="48">
        <f t="shared" si="157"/>
        <v>142138</v>
      </c>
      <c r="T471" s="50">
        <f t="shared" si="157"/>
        <v>0</v>
      </c>
      <c r="V471" s="6">
        <f t="shared" si="155"/>
        <v>0</v>
      </c>
    </row>
    <row r="472" spans="1:22">
      <c r="A472" s="46" t="s">
        <v>82</v>
      </c>
      <c r="B472" s="47" t="s">
        <v>83</v>
      </c>
      <c r="C472" s="29"/>
      <c r="D472" s="29"/>
      <c r="E472" s="29"/>
      <c r="F472" s="28"/>
      <c r="G472" s="28">
        <f t="shared" si="157"/>
        <v>146906</v>
      </c>
      <c r="H472" s="28">
        <f t="shared" si="157"/>
        <v>0</v>
      </c>
      <c r="I472" s="28">
        <f t="shared" si="157"/>
        <v>0</v>
      </c>
      <c r="J472" s="28">
        <f t="shared" si="157"/>
        <v>0</v>
      </c>
      <c r="K472" s="28">
        <f t="shared" si="157"/>
        <v>146906</v>
      </c>
      <c r="L472" s="28">
        <f t="shared" si="157"/>
        <v>300</v>
      </c>
      <c r="M472" s="28">
        <f t="shared" si="157"/>
        <v>142138</v>
      </c>
      <c r="N472" s="36">
        <f t="shared" si="157"/>
        <v>0</v>
      </c>
      <c r="O472" s="36">
        <f t="shared" si="157"/>
        <v>0</v>
      </c>
      <c r="P472" s="36">
        <f t="shared" si="157"/>
        <v>0</v>
      </c>
      <c r="Q472" s="36">
        <f t="shared" si="157"/>
        <v>0</v>
      </c>
      <c r="R472" s="36">
        <f t="shared" si="157"/>
        <v>0</v>
      </c>
      <c r="S472" s="28">
        <f t="shared" si="157"/>
        <v>142138</v>
      </c>
      <c r="T472" s="70">
        <f t="shared" si="157"/>
        <v>0</v>
      </c>
      <c r="V472" s="6">
        <f t="shared" si="155"/>
        <v>0</v>
      </c>
    </row>
    <row r="473" spans="1:22" ht="45">
      <c r="A473" s="53">
        <v>1</v>
      </c>
      <c r="B473" s="59" t="s">
        <v>915</v>
      </c>
      <c r="C473" s="53" t="s">
        <v>40</v>
      </c>
      <c r="D473" s="53" t="s">
        <v>26</v>
      </c>
      <c r="E473" s="53" t="s">
        <v>160</v>
      </c>
      <c r="F473" s="53" t="s">
        <v>916</v>
      </c>
      <c r="G473" s="67">
        <v>146906</v>
      </c>
      <c r="H473" s="67"/>
      <c r="I473" s="67"/>
      <c r="J473" s="67"/>
      <c r="K473" s="67">
        <v>146906</v>
      </c>
      <c r="L473" s="54">
        <v>300</v>
      </c>
      <c r="M473" s="57">
        <f>SUM(N473:S473)</f>
        <v>142138</v>
      </c>
      <c r="N473" s="61"/>
      <c r="O473" s="61"/>
      <c r="P473" s="61"/>
      <c r="Q473" s="61"/>
      <c r="R473" s="61"/>
      <c r="S473" s="111">
        <f>147438-300-5000</f>
        <v>142138</v>
      </c>
      <c r="T473" s="37"/>
      <c r="V473" s="6">
        <f t="shared" si="155"/>
        <v>0</v>
      </c>
    </row>
    <row r="474" spans="1:22" s="188" customFormat="1">
      <c r="A474" s="199" t="s">
        <v>917</v>
      </c>
      <c r="B474" s="47" t="s">
        <v>918</v>
      </c>
      <c r="C474" s="29"/>
      <c r="D474" s="29"/>
      <c r="E474" s="29"/>
      <c r="F474" s="48">
        <f t="shared" ref="F474:T474" si="158">F475</f>
        <v>0</v>
      </c>
      <c r="G474" s="48">
        <f t="shared" si="158"/>
        <v>755716</v>
      </c>
      <c r="H474" s="48">
        <f t="shared" si="158"/>
        <v>0</v>
      </c>
      <c r="I474" s="48">
        <f t="shared" si="158"/>
        <v>0</v>
      </c>
      <c r="J474" s="48">
        <f t="shared" si="158"/>
        <v>0</v>
      </c>
      <c r="K474" s="48">
        <f t="shared" si="158"/>
        <v>755716</v>
      </c>
      <c r="L474" s="48">
        <f t="shared" si="158"/>
        <v>587944</v>
      </c>
      <c r="M474" s="48">
        <f t="shared" si="158"/>
        <v>27770</v>
      </c>
      <c r="N474" s="49">
        <f t="shared" si="158"/>
        <v>0</v>
      </c>
      <c r="O474" s="49">
        <f t="shared" si="158"/>
        <v>0</v>
      </c>
      <c r="P474" s="49">
        <f t="shared" si="158"/>
        <v>0</v>
      </c>
      <c r="Q474" s="49">
        <f t="shared" si="158"/>
        <v>0</v>
      </c>
      <c r="R474" s="49">
        <f t="shared" si="158"/>
        <v>0</v>
      </c>
      <c r="S474" s="48">
        <f t="shared" si="158"/>
        <v>27770</v>
      </c>
      <c r="T474" s="50">
        <f t="shared" si="158"/>
        <v>0</v>
      </c>
      <c r="V474" s="6">
        <f t="shared" si="155"/>
        <v>0</v>
      </c>
    </row>
    <row r="475" spans="1:22" s="188" customFormat="1">
      <c r="A475" s="199" t="s">
        <v>69</v>
      </c>
      <c r="B475" s="47" t="s">
        <v>70</v>
      </c>
      <c r="C475" s="29"/>
      <c r="D475" s="29"/>
      <c r="E475" s="29"/>
      <c r="F475" s="48">
        <f t="shared" ref="F475:T475" si="159">F476+F478</f>
        <v>0</v>
      </c>
      <c r="G475" s="48">
        <f t="shared" si="159"/>
        <v>755716</v>
      </c>
      <c r="H475" s="48">
        <f t="shared" si="159"/>
        <v>0</v>
      </c>
      <c r="I475" s="48">
        <f t="shared" si="159"/>
        <v>0</v>
      </c>
      <c r="J475" s="48">
        <f t="shared" si="159"/>
        <v>0</v>
      </c>
      <c r="K475" s="48">
        <f t="shared" si="159"/>
        <v>755716</v>
      </c>
      <c r="L475" s="48">
        <f t="shared" si="159"/>
        <v>587944</v>
      </c>
      <c r="M475" s="48">
        <f t="shared" si="159"/>
        <v>27770</v>
      </c>
      <c r="N475" s="49">
        <f t="shared" si="159"/>
        <v>0</v>
      </c>
      <c r="O475" s="49">
        <f t="shared" si="159"/>
        <v>0</v>
      </c>
      <c r="P475" s="49">
        <f t="shared" si="159"/>
        <v>0</v>
      </c>
      <c r="Q475" s="49">
        <f t="shared" si="159"/>
        <v>0</v>
      </c>
      <c r="R475" s="49">
        <f t="shared" si="159"/>
        <v>0</v>
      </c>
      <c r="S475" s="48">
        <f t="shared" si="159"/>
        <v>27770</v>
      </c>
      <c r="T475" s="50">
        <f t="shared" si="159"/>
        <v>0</v>
      </c>
      <c r="V475" s="6">
        <f t="shared" si="155"/>
        <v>0</v>
      </c>
    </row>
    <row r="476" spans="1:22" ht="28.5">
      <c r="A476" s="29" t="s">
        <v>71</v>
      </c>
      <c r="B476" s="47" t="s">
        <v>72</v>
      </c>
      <c r="C476" s="29"/>
      <c r="D476" s="29"/>
      <c r="E476" s="29"/>
      <c r="F476" s="58">
        <f t="shared" ref="F476:T476" si="160">SUM(F477)</f>
        <v>0</v>
      </c>
      <c r="G476" s="58">
        <f t="shared" si="160"/>
        <v>36</v>
      </c>
      <c r="H476" s="58">
        <f t="shared" si="160"/>
        <v>0</v>
      </c>
      <c r="I476" s="58">
        <f t="shared" si="160"/>
        <v>0</v>
      </c>
      <c r="J476" s="58">
        <f t="shared" si="160"/>
        <v>0</v>
      </c>
      <c r="K476" s="58">
        <f t="shared" si="160"/>
        <v>36</v>
      </c>
      <c r="L476" s="58">
        <f t="shared" si="160"/>
        <v>0</v>
      </c>
      <c r="M476" s="48">
        <f t="shared" si="160"/>
        <v>36</v>
      </c>
      <c r="N476" s="49">
        <f t="shared" si="160"/>
        <v>0</v>
      </c>
      <c r="O476" s="49">
        <f t="shared" si="160"/>
        <v>0</v>
      </c>
      <c r="P476" s="49">
        <f t="shared" si="160"/>
        <v>0</v>
      </c>
      <c r="Q476" s="49">
        <f t="shared" si="160"/>
        <v>0</v>
      </c>
      <c r="R476" s="49">
        <f t="shared" si="160"/>
        <v>0</v>
      </c>
      <c r="S476" s="48">
        <f t="shared" si="160"/>
        <v>36</v>
      </c>
      <c r="T476" s="50">
        <f t="shared" si="160"/>
        <v>0</v>
      </c>
      <c r="V476" s="6">
        <f t="shared" si="155"/>
        <v>0</v>
      </c>
    </row>
    <row r="477" spans="1:22" ht="45">
      <c r="A477" s="199"/>
      <c r="B477" s="16" t="s">
        <v>919</v>
      </c>
      <c r="C477" s="15" t="s">
        <v>64</v>
      </c>
      <c r="D477" s="15" t="s">
        <v>31</v>
      </c>
      <c r="E477" s="501" t="s">
        <v>357</v>
      </c>
      <c r="F477" s="161" t="s">
        <v>920</v>
      </c>
      <c r="G477" s="64">
        <f>SUM(H477:K477)</f>
        <v>36</v>
      </c>
      <c r="H477" s="58"/>
      <c r="I477" s="58"/>
      <c r="J477" s="58"/>
      <c r="K477" s="64">
        <v>36</v>
      </c>
      <c r="L477" s="58"/>
      <c r="M477" s="19">
        <f>SUM(N477:S477)</f>
        <v>36</v>
      </c>
      <c r="N477" s="49"/>
      <c r="O477" s="49"/>
      <c r="P477" s="49"/>
      <c r="Q477" s="49"/>
      <c r="R477" s="49"/>
      <c r="S477" s="48">
        <v>36</v>
      </c>
      <c r="T477" s="37"/>
      <c r="V477" s="6">
        <f t="shared" si="155"/>
        <v>0</v>
      </c>
    </row>
    <row r="478" spans="1:22">
      <c r="A478" s="46" t="s">
        <v>82</v>
      </c>
      <c r="B478" s="47" t="s">
        <v>83</v>
      </c>
      <c r="C478" s="53"/>
      <c r="D478" s="53"/>
      <c r="E478" s="53"/>
      <c r="F478" s="58"/>
      <c r="G478" s="58">
        <f t="shared" ref="G478:T478" si="161">SUM(G479:G480)</f>
        <v>755680</v>
      </c>
      <c r="H478" s="58">
        <f t="shared" si="161"/>
        <v>0</v>
      </c>
      <c r="I478" s="58">
        <f t="shared" si="161"/>
        <v>0</v>
      </c>
      <c r="J478" s="58">
        <f t="shared" si="161"/>
        <v>0</v>
      </c>
      <c r="K478" s="58">
        <f t="shared" si="161"/>
        <v>755680</v>
      </c>
      <c r="L478" s="58">
        <f t="shared" si="161"/>
        <v>587944</v>
      </c>
      <c r="M478" s="48">
        <f t="shared" si="161"/>
        <v>27734</v>
      </c>
      <c r="N478" s="49">
        <f t="shared" si="161"/>
        <v>0</v>
      </c>
      <c r="O478" s="49">
        <f t="shared" si="161"/>
        <v>0</v>
      </c>
      <c r="P478" s="49">
        <f t="shared" si="161"/>
        <v>0</v>
      </c>
      <c r="Q478" s="49">
        <f t="shared" si="161"/>
        <v>0</v>
      </c>
      <c r="R478" s="49">
        <f t="shared" si="161"/>
        <v>0</v>
      </c>
      <c r="S478" s="48">
        <f t="shared" si="161"/>
        <v>27734</v>
      </c>
      <c r="T478" s="50">
        <f t="shared" si="161"/>
        <v>0</v>
      </c>
      <c r="V478" s="6">
        <f t="shared" si="155"/>
        <v>0</v>
      </c>
    </row>
    <row r="479" spans="1:22" ht="45">
      <c r="A479" s="12">
        <v>1</v>
      </c>
      <c r="B479" s="92" t="s">
        <v>921</v>
      </c>
      <c r="C479" s="53" t="s">
        <v>922</v>
      </c>
      <c r="D479" s="12" t="s">
        <v>26</v>
      </c>
      <c r="E479" s="53" t="s">
        <v>923</v>
      </c>
      <c r="F479" s="53" t="s">
        <v>924</v>
      </c>
      <c r="G479" s="54">
        <f>SUM(H479:K479)</f>
        <v>402149</v>
      </c>
      <c r="H479" s="56">
        <v>0</v>
      </c>
      <c r="I479" s="56">
        <v>0</v>
      </c>
      <c r="J479" s="56"/>
      <c r="K479" s="56">
        <v>402149</v>
      </c>
      <c r="L479" s="56">
        <v>383489</v>
      </c>
      <c r="M479" s="57">
        <f>SUM(N479:S479)</f>
        <v>18659</v>
      </c>
      <c r="N479" s="55">
        <v>0</v>
      </c>
      <c r="O479" s="55">
        <v>0</v>
      </c>
      <c r="P479" s="55">
        <v>0</v>
      </c>
      <c r="Q479" s="55">
        <v>0</v>
      </c>
      <c r="R479" s="55"/>
      <c r="S479" s="57">
        <v>18659</v>
      </c>
      <c r="T479" s="37"/>
      <c r="V479" s="6">
        <f t="shared" si="155"/>
        <v>0</v>
      </c>
    </row>
    <row r="480" spans="1:22" ht="45">
      <c r="A480" s="53">
        <v>2</v>
      </c>
      <c r="B480" s="59" t="s">
        <v>925</v>
      </c>
      <c r="C480" s="53" t="s">
        <v>92</v>
      </c>
      <c r="D480" s="53" t="s">
        <v>26</v>
      </c>
      <c r="E480" s="53" t="s">
        <v>227</v>
      </c>
      <c r="F480" s="53" t="s">
        <v>926</v>
      </c>
      <c r="G480" s="54">
        <f>SUM(H480:K480)</f>
        <v>353531</v>
      </c>
      <c r="H480" s="54"/>
      <c r="I480" s="54"/>
      <c r="J480" s="54"/>
      <c r="K480" s="54">
        <v>353531</v>
      </c>
      <c r="L480" s="113">
        <v>204455</v>
      </c>
      <c r="M480" s="57">
        <f>SUM(N480:S480)</f>
        <v>9075</v>
      </c>
      <c r="N480" s="61"/>
      <c r="O480" s="61"/>
      <c r="P480" s="61"/>
      <c r="Q480" s="61"/>
      <c r="R480" s="114"/>
      <c r="S480" s="115">
        <f>149075-140000</f>
        <v>9075</v>
      </c>
      <c r="T480" s="37"/>
      <c r="V480" s="6">
        <f t="shared" si="155"/>
        <v>0</v>
      </c>
    </row>
    <row r="481" spans="1:22" s="188" customFormat="1">
      <c r="A481" s="199" t="s">
        <v>927</v>
      </c>
      <c r="B481" s="47" t="s">
        <v>928</v>
      </c>
      <c r="C481" s="29"/>
      <c r="D481" s="29"/>
      <c r="E481" s="29"/>
      <c r="F481" s="48">
        <f t="shared" ref="F481:T481" si="162">SUM(F482:F498)</f>
        <v>0</v>
      </c>
      <c r="G481" s="48">
        <f t="shared" si="162"/>
        <v>93194</v>
      </c>
      <c r="H481" s="48">
        <f t="shared" si="162"/>
        <v>0</v>
      </c>
      <c r="I481" s="48">
        <f t="shared" si="162"/>
        <v>0</v>
      </c>
      <c r="J481" s="48">
        <f t="shared" si="162"/>
        <v>0</v>
      </c>
      <c r="K481" s="48">
        <f t="shared" si="162"/>
        <v>93194</v>
      </c>
      <c r="L481" s="48">
        <f t="shared" si="162"/>
        <v>0</v>
      </c>
      <c r="M481" s="48">
        <f t="shared" si="162"/>
        <v>64893</v>
      </c>
      <c r="N481" s="49">
        <f t="shared" si="162"/>
        <v>0</v>
      </c>
      <c r="O481" s="49">
        <f t="shared" si="162"/>
        <v>0</v>
      </c>
      <c r="P481" s="49">
        <f t="shared" si="162"/>
        <v>0</v>
      </c>
      <c r="Q481" s="49">
        <f t="shared" si="162"/>
        <v>0</v>
      </c>
      <c r="R481" s="49">
        <f t="shared" si="162"/>
        <v>0</v>
      </c>
      <c r="S481" s="48">
        <f t="shared" si="162"/>
        <v>64893</v>
      </c>
      <c r="T481" s="50">
        <f t="shared" si="162"/>
        <v>0</v>
      </c>
      <c r="V481" s="6">
        <f t="shared" si="155"/>
        <v>0</v>
      </c>
    </row>
    <row r="482" spans="1:22" ht="30">
      <c r="A482" s="53">
        <v>1</v>
      </c>
      <c r="B482" s="16" t="s">
        <v>929</v>
      </c>
      <c r="C482" s="53"/>
      <c r="D482" s="53"/>
      <c r="E482" s="76" t="s">
        <v>55</v>
      </c>
      <c r="F482" s="15" t="s">
        <v>930</v>
      </c>
      <c r="G482" s="200">
        <f>SUM(H482:K482)</f>
        <v>416</v>
      </c>
      <c r="H482" s="14"/>
      <c r="I482" s="14"/>
      <c r="J482" s="14"/>
      <c r="K482" s="201">
        <v>416</v>
      </c>
      <c r="L482" s="113"/>
      <c r="M482" s="57">
        <f>SUM(N482:S482)</f>
        <v>416</v>
      </c>
      <c r="N482" s="61"/>
      <c r="O482" s="61"/>
      <c r="P482" s="61"/>
      <c r="Q482" s="61"/>
      <c r="R482" s="114"/>
      <c r="S482" s="115">
        <v>416</v>
      </c>
      <c r="T482" s="37"/>
      <c r="V482" s="6">
        <f t="shared" si="155"/>
        <v>0</v>
      </c>
    </row>
    <row r="483" spans="1:22" ht="30">
      <c r="A483" s="53">
        <v>2</v>
      </c>
      <c r="B483" s="16" t="s">
        <v>931</v>
      </c>
      <c r="C483" s="53"/>
      <c r="D483" s="53"/>
      <c r="E483" s="76" t="s">
        <v>55</v>
      </c>
      <c r="F483" s="15" t="s">
        <v>932</v>
      </c>
      <c r="G483" s="200">
        <f t="shared" ref="G483:G498" si="163">SUM(H483:K483)</f>
        <v>847</v>
      </c>
      <c r="H483" s="14"/>
      <c r="I483" s="14"/>
      <c r="J483" s="14"/>
      <c r="K483" s="201">
        <v>847</v>
      </c>
      <c r="L483" s="113"/>
      <c r="M483" s="57">
        <f t="shared" ref="M483:M498" si="164">SUM(N483:S483)</f>
        <v>847</v>
      </c>
      <c r="N483" s="61"/>
      <c r="O483" s="61"/>
      <c r="P483" s="61"/>
      <c r="Q483" s="61"/>
      <c r="R483" s="114"/>
      <c r="S483" s="115">
        <v>847</v>
      </c>
      <c r="T483" s="37"/>
      <c r="V483" s="6">
        <f t="shared" si="155"/>
        <v>0</v>
      </c>
    </row>
    <row r="484" spans="1:22" ht="30">
      <c r="A484" s="53">
        <v>3</v>
      </c>
      <c r="B484" s="16" t="s">
        <v>933</v>
      </c>
      <c r="C484" s="53"/>
      <c r="D484" s="53"/>
      <c r="E484" s="76" t="s">
        <v>55</v>
      </c>
      <c r="F484" s="15" t="s">
        <v>934</v>
      </c>
      <c r="G484" s="200">
        <f t="shared" si="163"/>
        <v>415</v>
      </c>
      <c r="H484" s="14"/>
      <c r="I484" s="14"/>
      <c r="J484" s="14"/>
      <c r="K484" s="201">
        <v>415</v>
      </c>
      <c r="L484" s="113"/>
      <c r="M484" s="57">
        <f t="shared" si="164"/>
        <v>415</v>
      </c>
      <c r="N484" s="61"/>
      <c r="O484" s="61"/>
      <c r="P484" s="61"/>
      <c r="Q484" s="61"/>
      <c r="R484" s="114"/>
      <c r="S484" s="115">
        <v>415</v>
      </c>
      <c r="T484" s="37"/>
      <c r="V484" s="6">
        <f t="shared" si="155"/>
        <v>0</v>
      </c>
    </row>
    <row r="485" spans="1:22" ht="45">
      <c r="A485" s="53">
        <v>4</v>
      </c>
      <c r="B485" s="16" t="s">
        <v>935</v>
      </c>
      <c r="C485" s="53"/>
      <c r="D485" s="53"/>
      <c r="E485" s="76" t="s">
        <v>55</v>
      </c>
      <c r="F485" s="15" t="s">
        <v>936</v>
      </c>
      <c r="G485" s="200">
        <f t="shared" si="163"/>
        <v>407</v>
      </c>
      <c r="H485" s="14"/>
      <c r="I485" s="14"/>
      <c r="J485" s="14"/>
      <c r="K485" s="201">
        <v>407</v>
      </c>
      <c r="L485" s="113"/>
      <c r="M485" s="57">
        <f t="shared" si="164"/>
        <v>407</v>
      </c>
      <c r="N485" s="61"/>
      <c r="O485" s="61"/>
      <c r="P485" s="61"/>
      <c r="Q485" s="61"/>
      <c r="R485" s="114"/>
      <c r="S485" s="115">
        <v>407</v>
      </c>
      <c r="T485" s="37"/>
      <c r="V485" s="6">
        <f t="shared" si="155"/>
        <v>0</v>
      </c>
    </row>
    <row r="486" spans="1:22" ht="30">
      <c r="A486" s="53">
        <v>5</v>
      </c>
      <c r="B486" s="16" t="s">
        <v>937</v>
      </c>
      <c r="C486" s="53"/>
      <c r="D486" s="53"/>
      <c r="E486" s="76" t="s">
        <v>55</v>
      </c>
      <c r="F486" s="15" t="s">
        <v>938</v>
      </c>
      <c r="G486" s="200">
        <f t="shared" si="163"/>
        <v>1518</v>
      </c>
      <c r="H486" s="14"/>
      <c r="I486" s="14"/>
      <c r="J486" s="14"/>
      <c r="K486" s="201">
        <v>1518</v>
      </c>
      <c r="L486" s="113"/>
      <c r="M486" s="57">
        <f t="shared" si="164"/>
        <v>1518</v>
      </c>
      <c r="N486" s="61"/>
      <c r="O486" s="61"/>
      <c r="P486" s="61"/>
      <c r="Q486" s="61"/>
      <c r="R486" s="114"/>
      <c r="S486" s="115">
        <v>1518</v>
      </c>
      <c r="T486" s="37"/>
      <c r="V486" s="6">
        <f t="shared" si="155"/>
        <v>0</v>
      </c>
    </row>
    <row r="487" spans="1:22" ht="30">
      <c r="A487" s="53">
        <v>6</v>
      </c>
      <c r="B487" s="16" t="s">
        <v>939</v>
      </c>
      <c r="C487" s="53"/>
      <c r="D487" s="53"/>
      <c r="E487" s="76" t="s">
        <v>55</v>
      </c>
      <c r="F487" s="202" t="s">
        <v>940</v>
      </c>
      <c r="G487" s="200">
        <f t="shared" si="163"/>
        <v>919</v>
      </c>
      <c r="H487" s="14"/>
      <c r="I487" s="14"/>
      <c r="J487" s="14"/>
      <c r="K487" s="201">
        <v>919</v>
      </c>
      <c r="L487" s="113"/>
      <c r="M487" s="57">
        <f t="shared" si="164"/>
        <v>919</v>
      </c>
      <c r="N487" s="61"/>
      <c r="O487" s="61"/>
      <c r="P487" s="61"/>
      <c r="Q487" s="61"/>
      <c r="R487" s="114"/>
      <c r="S487" s="115">
        <v>919</v>
      </c>
      <c r="T487" s="37"/>
      <c r="V487" s="6">
        <f t="shared" si="155"/>
        <v>0</v>
      </c>
    </row>
    <row r="488" spans="1:22" ht="30">
      <c r="A488" s="53">
        <v>7</v>
      </c>
      <c r="B488" s="16" t="s">
        <v>941</v>
      </c>
      <c r="C488" s="53"/>
      <c r="D488" s="53"/>
      <c r="E488" s="76" t="s">
        <v>55</v>
      </c>
      <c r="F488" s="202" t="s">
        <v>942</v>
      </c>
      <c r="G488" s="200">
        <f t="shared" si="163"/>
        <v>575</v>
      </c>
      <c r="H488" s="14"/>
      <c r="I488" s="14"/>
      <c r="J488" s="14"/>
      <c r="K488" s="201">
        <v>575</v>
      </c>
      <c r="L488" s="113"/>
      <c r="M488" s="57">
        <f t="shared" si="164"/>
        <v>575</v>
      </c>
      <c r="N488" s="61"/>
      <c r="O488" s="61"/>
      <c r="P488" s="61"/>
      <c r="Q488" s="61"/>
      <c r="R488" s="114"/>
      <c r="S488" s="115">
        <v>575</v>
      </c>
      <c r="T488" s="37"/>
      <c r="V488" s="6">
        <f t="shared" si="155"/>
        <v>0</v>
      </c>
    </row>
    <row r="489" spans="1:22" ht="60">
      <c r="A489" s="53">
        <v>8</v>
      </c>
      <c r="B489" s="84" t="s">
        <v>943</v>
      </c>
      <c r="C489" s="53"/>
      <c r="D489" s="53"/>
      <c r="E489" s="76" t="s">
        <v>59</v>
      </c>
      <c r="F489" s="81" t="s">
        <v>944</v>
      </c>
      <c r="G489" s="200">
        <f t="shared" si="163"/>
        <v>57535</v>
      </c>
      <c r="H489" s="14"/>
      <c r="I489" s="14"/>
      <c r="J489" s="14"/>
      <c r="K489" s="201">
        <v>57535</v>
      </c>
      <c r="L489" s="113"/>
      <c r="M489" s="57">
        <f t="shared" si="164"/>
        <v>29234</v>
      </c>
      <c r="N489" s="61"/>
      <c r="O489" s="61"/>
      <c r="P489" s="61"/>
      <c r="Q489" s="61"/>
      <c r="R489" s="114"/>
      <c r="S489" s="115">
        <v>29234</v>
      </c>
      <c r="T489" s="37"/>
      <c r="V489" s="6">
        <f t="shared" si="155"/>
        <v>0</v>
      </c>
    </row>
    <row r="490" spans="1:22" ht="45">
      <c r="A490" s="53">
        <v>9</v>
      </c>
      <c r="B490" s="84" t="s">
        <v>945</v>
      </c>
      <c r="C490" s="53"/>
      <c r="D490" s="53"/>
      <c r="E490" s="76">
        <v>2021</v>
      </c>
      <c r="F490" s="81" t="s">
        <v>946</v>
      </c>
      <c r="G490" s="200">
        <f t="shared" si="163"/>
        <v>2716</v>
      </c>
      <c r="H490" s="14"/>
      <c r="I490" s="14"/>
      <c r="J490" s="14"/>
      <c r="K490" s="201">
        <v>2716</v>
      </c>
      <c r="L490" s="113"/>
      <c r="M490" s="57">
        <f t="shared" si="164"/>
        <v>2716</v>
      </c>
      <c r="N490" s="61"/>
      <c r="O490" s="61"/>
      <c r="P490" s="61"/>
      <c r="Q490" s="61"/>
      <c r="R490" s="114"/>
      <c r="S490" s="115">
        <v>2716</v>
      </c>
      <c r="T490" s="37"/>
      <c r="V490" s="6">
        <f t="shared" si="155"/>
        <v>0</v>
      </c>
    </row>
    <row r="491" spans="1:22" ht="45">
      <c r="A491" s="53">
        <v>10</v>
      </c>
      <c r="B491" s="84" t="s">
        <v>947</v>
      </c>
      <c r="C491" s="53"/>
      <c r="D491" s="53"/>
      <c r="E491" s="76" t="s">
        <v>109</v>
      </c>
      <c r="F491" s="81" t="s">
        <v>948</v>
      </c>
      <c r="G491" s="200">
        <f t="shared" si="163"/>
        <v>20944</v>
      </c>
      <c r="H491" s="14"/>
      <c r="I491" s="14"/>
      <c r="J491" s="14"/>
      <c r="K491" s="201">
        <v>20944</v>
      </c>
      <c r="L491" s="113"/>
      <c r="M491" s="57">
        <f t="shared" si="164"/>
        <v>20944</v>
      </c>
      <c r="N491" s="61"/>
      <c r="O491" s="61"/>
      <c r="P491" s="61"/>
      <c r="Q491" s="61"/>
      <c r="R491" s="114"/>
      <c r="S491" s="115">
        <v>20944</v>
      </c>
      <c r="T491" s="37"/>
      <c r="V491" s="6">
        <f t="shared" si="155"/>
        <v>0</v>
      </c>
    </row>
    <row r="492" spans="1:22" ht="45">
      <c r="A492" s="53">
        <v>11</v>
      </c>
      <c r="B492" s="203" t="s">
        <v>949</v>
      </c>
      <c r="C492" s="53"/>
      <c r="D492" s="53"/>
      <c r="E492" s="203" t="s">
        <v>55</v>
      </c>
      <c r="F492" s="203" t="s">
        <v>950</v>
      </c>
      <c r="G492" s="200">
        <f t="shared" si="163"/>
        <v>475</v>
      </c>
      <c r="H492" s="14"/>
      <c r="I492" s="14"/>
      <c r="J492" s="14"/>
      <c r="K492" s="201">
        <v>475</v>
      </c>
      <c r="L492" s="113"/>
      <c r="M492" s="57">
        <f t="shared" si="164"/>
        <v>475</v>
      </c>
      <c r="N492" s="61"/>
      <c r="O492" s="61"/>
      <c r="P492" s="61"/>
      <c r="Q492" s="61"/>
      <c r="R492" s="114"/>
      <c r="S492" s="115">
        <v>475</v>
      </c>
      <c r="T492" s="37"/>
      <c r="V492" s="6">
        <f t="shared" si="155"/>
        <v>0</v>
      </c>
    </row>
    <row r="493" spans="1:22" ht="30">
      <c r="A493" s="53">
        <v>12</v>
      </c>
      <c r="B493" s="203" t="s">
        <v>951</v>
      </c>
      <c r="C493" s="53"/>
      <c r="D493" s="53"/>
      <c r="E493" s="203" t="s">
        <v>55</v>
      </c>
      <c r="F493" s="203" t="s">
        <v>952</v>
      </c>
      <c r="G493" s="200">
        <f t="shared" si="163"/>
        <v>2022</v>
      </c>
      <c r="H493" s="14"/>
      <c r="I493" s="14"/>
      <c r="J493" s="14"/>
      <c r="K493" s="201">
        <v>2022</v>
      </c>
      <c r="L493" s="113"/>
      <c r="M493" s="57">
        <f t="shared" si="164"/>
        <v>2022</v>
      </c>
      <c r="N493" s="61"/>
      <c r="O493" s="61"/>
      <c r="P493" s="61"/>
      <c r="Q493" s="61"/>
      <c r="R493" s="114"/>
      <c r="S493" s="115">
        <v>2022</v>
      </c>
      <c r="T493" s="37"/>
      <c r="V493" s="6">
        <f t="shared" si="155"/>
        <v>0</v>
      </c>
    </row>
    <row r="494" spans="1:22" ht="75">
      <c r="A494" s="53">
        <v>13</v>
      </c>
      <c r="B494" s="203" t="s">
        <v>953</v>
      </c>
      <c r="C494" s="53"/>
      <c r="D494" s="53"/>
      <c r="E494" s="203" t="s">
        <v>55</v>
      </c>
      <c r="F494" s="203" t="s">
        <v>954</v>
      </c>
      <c r="G494" s="200">
        <f t="shared" si="163"/>
        <v>1107</v>
      </c>
      <c r="H494" s="14"/>
      <c r="I494" s="14"/>
      <c r="J494" s="14"/>
      <c r="K494" s="201">
        <v>1107</v>
      </c>
      <c r="L494" s="113"/>
      <c r="M494" s="57">
        <f t="shared" si="164"/>
        <v>1107</v>
      </c>
      <c r="N494" s="61"/>
      <c r="O494" s="61"/>
      <c r="P494" s="61"/>
      <c r="Q494" s="61"/>
      <c r="R494" s="114"/>
      <c r="S494" s="115">
        <v>1107</v>
      </c>
      <c r="T494" s="37"/>
      <c r="V494" s="6">
        <f t="shared" si="155"/>
        <v>0</v>
      </c>
    </row>
    <row r="495" spans="1:22" ht="75">
      <c r="A495" s="53">
        <v>14</v>
      </c>
      <c r="B495" s="203" t="s">
        <v>955</v>
      </c>
      <c r="C495" s="53"/>
      <c r="D495" s="53"/>
      <c r="E495" s="203" t="s">
        <v>55</v>
      </c>
      <c r="F495" s="203" t="s">
        <v>956</v>
      </c>
      <c r="G495" s="200">
        <f t="shared" si="163"/>
        <v>1918</v>
      </c>
      <c r="H495" s="14"/>
      <c r="I495" s="14"/>
      <c r="J495" s="14"/>
      <c r="K495" s="201">
        <v>1918</v>
      </c>
      <c r="L495" s="113"/>
      <c r="M495" s="57">
        <f t="shared" si="164"/>
        <v>1918</v>
      </c>
      <c r="N495" s="61"/>
      <c r="O495" s="61"/>
      <c r="P495" s="61"/>
      <c r="Q495" s="61"/>
      <c r="R495" s="114"/>
      <c r="S495" s="115">
        <v>1918</v>
      </c>
      <c r="T495" s="37"/>
      <c r="V495" s="6">
        <f t="shared" si="155"/>
        <v>0</v>
      </c>
    </row>
    <row r="496" spans="1:22" ht="30">
      <c r="A496" s="53">
        <v>15</v>
      </c>
      <c r="B496" s="16" t="s">
        <v>957</v>
      </c>
      <c r="C496" s="53"/>
      <c r="D496" s="53"/>
      <c r="E496" s="53"/>
      <c r="F496" s="15" t="s">
        <v>958</v>
      </c>
      <c r="G496" s="200">
        <f t="shared" si="163"/>
        <v>412</v>
      </c>
      <c r="H496" s="14"/>
      <c r="I496" s="14"/>
      <c r="J496" s="14"/>
      <c r="K496" s="201">
        <v>412</v>
      </c>
      <c r="L496" s="113"/>
      <c r="M496" s="57">
        <f t="shared" si="164"/>
        <v>412</v>
      </c>
      <c r="N496" s="61"/>
      <c r="O496" s="61"/>
      <c r="P496" s="61"/>
      <c r="Q496" s="61"/>
      <c r="R496" s="114"/>
      <c r="S496" s="115">
        <v>412</v>
      </c>
      <c r="T496" s="37"/>
      <c r="V496" s="6">
        <f t="shared" si="155"/>
        <v>0</v>
      </c>
    </row>
    <row r="497" spans="1:22" ht="45">
      <c r="A497" s="53">
        <v>16</v>
      </c>
      <c r="B497" s="16" t="s">
        <v>959</v>
      </c>
      <c r="C497" s="53"/>
      <c r="D497" s="53"/>
      <c r="E497" s="53"/>
      <c r="F497" s="15" t="s">
        <v>960</v>
      </c>
      <c r="G497" s="200">
        <f t="shared" si="163"/>
        <v>382</v>
      </c>
      <c r="H497" s="14"/>
      <c r="I497" s="14"/>
      <c r="J497" s="14"/>
      <c r="K497" s="201">
        <v>382</v>
      </c>
      <c r="L497" s="113"/>
      <c r="M497" s="57">
        <f t="shared" si="164"/>
        <v>382</v>
      </c>
      <c r="N497" s="61"/>
      <c r="O497" s="61"/>
      <c r="P497" s="61"/>
      <c r="Q497" s="61"/>
      <c r="R497" s="114"/>
      <c r="S497" s="115">
        <v>382</v>
      </c>
      <c r="T497" s="37"/>
      <c r="V497" s="6">
        <f t="shared" si="155"/>
        <v>0</v>
      </c>
    </row>
    <row r="498" spans="1:22" ht="60">
      <c r="A498" s="53">
        <v>17</v>
      </c>
      <c r="B498" s="16" t="s">
        <v>961</v>
      </c>
      <c r="C498" s="53"/>
      <c r="D498" s="53"/>
      <c r="E498" s="53"/>
      <c r="F498" s="15" t="s">
        <v>962</v>
      </c>
      <c r="G498" s="200">
        <f t="shared" si="163"/>
        <v>586</v>
      </c>
      <c r="H498" s="14"/>
      <c r="I498" s="14"/>
      <c r="J498" s="14"/>
      <c r="K498" s="201">
        <v>586</v>
      </c>
      <c r="L498" s="113"/>
      <c r="M498" s="57">
        <f t="shared" si="164"/>
        <v>586</v>
      </c>
      <c r="N498" s="61"/>
      <c r="O498" s="61"/>
      <c r="P498" s="61"/>
      <c r="Q498" s="61"/>
      <c r="R498" s="114"/>
      <c r="S498" s="115">
        <v>586</v>
      </c>
      <c r="T498" s="37"/>
      <c r="V498" s="6">
        <f t="shared" si="155"/>
        <v>0</v>
      </c>
    </row>
    <row r="499" spans="1:22" ht="41.25" customHeight="1">
      <c r="A499" s="199" t="s">
        <v>963</v>
      </c>
      <c r="B499" s="467" t="s">
        <v>964</v>
      </c>
      <c r="C499" s="29"/>
      <c r="D499" s="29"/>
      <c r="E499" s="29"/>
      <c r="F499" s="58"/>
      <c r="G499" s="48">
        <f t="shared" ref="G499:S499" si="165">G513+G684+G710+G754+G863+G1013+G1135+G1199+G1303+G500</f>
        <v>8894588.909243999</v>
      </c>
      <c r="H499" s="48">
        <f t="shared" si="165"/>
        <v>0</v>
      </c>
      <c r="I499" s="48">
        <f t="shared" si="165"/>
        <v>0</v>
      </c>
      <c r="J499" s="48">
        <f t="shared" si="165"/>
        <v>0</v>
      </c>
      <c r="K499" s="48">
        <f t="shared" si="165"/>
        <v>8894588.909243999</v>
      </c>
      <c r="L499" s="48">
        <f t="shared" si="165"/>
        <v>201900.55918099999</v>
      </c>
      <c r="M499" s="48">
        <f t="shared" si="165"/>
        <v>5334121.4052999998</v>
      </c>
      <c r="N499" s="48">
        <f t="shared" si="165"/>
        <v>0</v>
      </c>
      <c r="O499" s="48">
        <f t="shared" si="165"/>
        <v>0</v>
      </c>
      <c r="P499" s="48">
        <f t="shared" si="165"/>
        <v>0</v>
      </c>
      <c r="Q499" s="48">
        <f t="shared" si="165"/>
        <v>0</v>
      </c>
      <c r="R499" s="48">
        <f t="shared" si="165"/>
        <v>0</v>
      </c>
      <c r="S499" s="48">
        <f t="shared" si="165"/>
        <v>5334121.4052999998</v>
      </c>
      <c r="T499" s="50"/>
      <c r="V499" s="6">
        <f t="shared" si="155"/>
        <v>0</v>
      </c>
    </row>
    <row r="500" spans="1:22" s="26" customFormat="1" ht="22.5" customHeight="1">
      <c r="A500" s="29" t="s">
        <v>71</v>
      </c>
      <c r="B500" s="473" t="s">
        <v>27</v>
      </c>
      <c r="C500" s="13"/>
      <c r="D500" s="13"/>
      <c r="E500" s="13"/>
      <c r="F500" s="466"/>
      <c r="G500" s="132">
        <f t="shared" ref="G500:M500" si="166">G501+G509</f>
        <v>0</v>
      </c>
      <c r="H500" s="132">
        <f t="shared" si="166"/>
        <v>0</v>
      </c>
      <c r="I500" s="132">
        <f t="shared" si="166"/>
        <v>0</v>
      </c>
      <c r="J500" s="132">
        <f t="shared" si="166"/>
        <v>0</v>
      </c>
      <c r="K500" s="132">
        <f t="shared" si="166"/>
        <v>0</v>
      </c>
      <c r="L500" s="132">
        <f t="shared" si="166"/>
        <v>0</v>
      </c>
      <c r="M500" s="132">
        <f t="shared" si="166"/>
        <v>31011</v>
      </c>
      <c r="N500" s="182">
        <f>SUM(N513:N515)</f>
        <v>0</v>
      </c>
      <c r="O500" s="182">
        <f>SUM(O513:O515)</f>
        <v>0</v>
      </c>
      <c r="P500" s="182">
        <f>SUM(P513:P515)</f>
        <v>0</v>
      </c>
      <c r="Q500" s="182">
        <f>SUM(Q513:Q515)</f>
        <v>0</v>
      </c>
      <c r="R500" s="182">
        <f>SUM(R513:R515)</f>
        <v>0</v>
      </c>
      <c r="S500" s="132">
        <f>S501+S509</f>
        <v>31011</v>
      </c>
      <c r="T500" s="183"/>
      <c r="V500" s="6">
        <f t="shared" si="155"/>
        <v>0</v>
      </c>
    </row>
    <row r="501" spans="1:22" s="423" customFormat="1" ht="36" customHeight="1">
      <c r="A501" s="502" t="s">
        <v>37</v>
      </c>
      <c r="B501" s="215" t="s">
        <v>1256</v>
      </c>
      <c r="C501" s="503"/>
      <c r="D501" s="503"/>
      <c r="E501" s="503"/>
      <c r="F501" s="504"/>
      <c r="G501" s="505"/>
      <c r="H501" s="505">
        <f t="shared" ref="H501:L501" si="167">SUM(H502:H506)</f>
        <v>0</v>
      </c>
      <c r="I501" s="505">
        <f t="shared" si="167"/>
        <v>0</v>
      </c>
      <c r="J501" s="505">
        <f t="shared" si="167"/>
        <v>0</v>
      </c>
      <c r="K501" s="505"/>
      <c r="L501" s="505">
        <f t="shared" si="167"/>
        <v>0</v>
      </c>
      <c r="M501" s="505">
        <f>SUM(M502:M508)</f>
        <v>30200</v>
      </c>
      <c r="N501" s="505">
        <f t="shared" ref="N501:S501" si="168">SUM(N502:N508)</f>
        <v>0</v>
      </c>
      <c r="O501" s="505">
        <f t="shared" si="168"/>
        <v>0</v>
      </c>
      <c r="P501" s="505">
        <f t="shared" si="168"/>
        <v>0</v>
      </c>
      <c r="Q501" s="505">
        <f t="shared" si="168"/>
        <v>0</v>
      </c>
      <c r="R501" s="505">
        <f t="shared" si="168"/>
        <v>0</v>
      </c>
      <c r="S501" s="505">
        <f t="shared" si="168"/>
        <v>30200</v>
      </c>
      <c r="T501" s="506"/>
      <c r="V501" s="6">
        <f t="shared" si="155"/>
        <v>0</v>
      </c>
    </row>
    <row r="502" spans="1:22" ht="30">
      <c r="A502" s="204">
        <v>1</v>
      </c>
      <c r="B502" s="205" t="s">
        <v>2772</v>
      </c>
      <c r="C502" s="206" t="s">
        <v>40</v>
      </c>
      <c r="D502" s="206"/>
      <c r="E502" s="207"/>
      <c r="F502" s="208"/>
      <c r="G502" s="230">
        <v>5000</v>
      </c>
      <c r="H502" s="231"/>
      <c r="I502" s="231"/>
      <c r="J502" s="231"/>
      <c r="K502" s="212">
        <v>5000</v>
      </c>
      <c r="L502" s="221"/>
      <c r="M502" s="212">
        <f t="shared" ref="M502:M507" si="169">SUM(N502:S502)</f>
        <v>5000</v>
      </c>
      <c r="N502" s="211"/>
      <c r="O502" s="211"/>
      <c r="P502" s="211"/>
      <c r="Q502" s="211"/>
      <c r="R502" s="211"/>
      <c r="S502" s="212">
        <v>5000</v>
      </c>
      <c r="T502" s="37"/>
      <c r="V502" s="6">
        <f t="shared" si="155"/>
        <v>0</v>
      </c>
    </row>
    <row r="503" spans="1:22" ht="45">
      <c r="A503" s="204">
        <v>2</v>
      </c>
      <c r="B503" s="507" t="s">
        <v>1316</v>
      </c>
      <c r="C503" s="508" t="s">
        <v>1261</v>
      </c>
      <c r="D503" s="508"/>
      <c r="E503" s="508" t="s">
        <v>55</v>
      </c>
      <c r="F503" s="509" t="s">
        <v>1317</v>
      </c>
      <c r="G503" s="510">
        <v>5000</v>
      </c>
      <c r="H503" s="511"/>
      <c r="I503" s="511"/>
      <c r="J503" s="511"/>
      <c r="K503" s="511">
        <v>5000</v>
      </c>
      <c r="L503" s="45">
        <v>0</v>
      </c>
      <c r="M503" s="260">
        <f t="shared" si="169"/>
        <v>5000</v>
      </c>
      <c r="N503" s="211"/>
      <c r="O503" s="211"/>
      <c r="P503" s="211"/>
      <c r="Q503" s="211"/>
      <c r="R503" s="211"/>
      <c r="S503" s="260">
        <v>5000</v>
      </c>
      <c r="T503" s="23"/>
      <c r="V503" s="6">
        <f t="shared" si="155"/>
        <v>0</v>
      </c>
    </row>
    <row r="504" spans="1:22" s="26" customFormat="1" ht="45">
      <c r="A504" s="204">
        <v>3</v>
      </c>
      <c r="B504" s="16" t="s">
        <v>1590</v>
      </c>
      <c r="C504" s="235" t="s">
        <v>1569</v>
      </c>
      <c r="D504" s="272"/>
      <c r="E504" s="273" t="s">
        <v>542</v>
      </c>
      <c r="F504" s="235" t="s">
        <v>1591</v>
      </c>
      <c r="G504" s="260">
        <v>3000</v>
      </c>
      <c r="H504" s="264"/>
      <c r="I504" s="264"/>
      <c r="J504" s="264"/>
      <c r="K504" s="261">
        <f>G504</f>
        <v>3000</v>
      </c>
      <c r="L504" s="246"/>
      <c r="M504" s="512">
        <f t="shared" si="169"/>
        <v>3000</v>
      </c>
      <c r="N504" s="239"/>
      <c r="O504" s="239"/>
      <c r="P504" s="239"/>
      <c r="Q504" s="239"/>
      <c r="R504" s="239"/>
      <c r="S504" s="240">
        <v>3000</v>
      </c>
      <c r="T504" s="23"/>
      <c r="V504" s="6">
        <f t="shared" si="155"/>
        <v>0</v>
      </c>
    </row>
    <row r="505" spans="1:22" ht="60">
      <c r="A505" s="204">
        <v>4</v>
      </c>
      <c r="B505" s="286" t="s">
        <v>2329</v>
      </c>
      <c r="C505" s="287" t="s">
        <v>2330</v>
      </c>
      <c r="D505" s="283"/>
      <c r="E505" s="284" t="s">
        <v>542</v>
      </c>
      <c r="F505" s="283"/>
      <c r="G505" s="283">
        <f>K505</f>
        <v>3000</v>
      </c>
      <c r="H505" s="283"/>
      <c r="I505" s="283"/>
      <c r="J505" s="283"/>
      <c r="K505" s="285">
        <v>3000</v>
      </c>
      <c r="L505" s="285">
        <v>0</v>
      </c>
      <c r="M505" s="285">
        <f t="shared" si="169"/>
        <v>3000</v>
      </c>
      <c r="N505" s="24"/>
      <c r="O505" s="24"/>
      <c r="P505" s="24"/>
      <c r="Q505" s="24"/>
      <c r="R505" s="24"/>
      <c r="S505" s="285">
        <v>3000</v>
      </c>
      <c r="T505" s="23"/>
      <c r="V505" s="6">
        <f t="shared" si="155"/>
        <v>0</v>
      </c>
    </row>
    <row r="506" spans="1:22" ht="30">
      <c r="A506" s="204">
        <v>5</v>
      </c>
      <c r="B506" s="286" t="s">
        <v>2770</v>
      </c>
      <c r="C506" s="287" t="s">
        <v>1635</v>
      </c>
      <c r="D506" s="283"/>
      <c r="E506" s="284">
        <v>2025</v>
      </c>
      <c r="F506" s="283"/>
      <c r="G506" s="283"/>
      <c r="H506" s="283"/>
      <c r="I506" s="283"/>
      <c r="J506" s="283"/>
      <c r="K506" s="285"/>
      <c r="L506" s="285"/>
      <c r="M506" s="285">
        <f t="shared" si="169"/>
        <v>3500</v>
      </c>
      <c r="N506" s="24"/>
      <c r="O506" s="24"/>
      <c r="P506" s="24"/>
      <c r="Q506" s="24"/>
      <c r="R506" s="24"/>
      <c r="S506" s="285">
        <v>3500</v>
      </c>
      <c r="T506" s="23"/>
      <c r="V506" s="6">
        <f t="shared" si="155"/>
        <v>0</v>
      </c>
    </row>
    <row r="507" spans="1:22" s="26" customFormat="1" ht="45">
      <c r="A507" s="513">
        <v>6</v>
      </c>
      <c r="B507" s="514" t="s">
        <v>2125</v>
      </c>
      <c r="C507" s="515" t="s">
        <v>1949</v>
      </c>
      <c r="D507" s="513"/>
      <c r="E507" s="513" t="s">
        <v>166</v>
      </c>
      <c r="F507" s="516" t="s">
        <v>2126</v>
      </c>
      <c r="G507" s="517">
        <v>7700</v>
      </c>
      <c r="H507" s="518"/>
      <c r="I507" s="518"/>
      <c r="J507" s="518"/>
      <c r="K507" s="517">
        <f>G507</f>
        <v>7700</v>
      </c>
      <c r="L507" s="518"/>
      <c r="M507" s="519">
        <f t="shared" si="169"/>
        <v>7700</v>
      </c>
      <c r="N507" s="520"/>
      <c r="O507" s="17"/>
      <c r="P507" s="17"/>
      <c r="Q507" s="17"/>
      <c r="R507" s="17"/>
      <c r="S507" s="519">
        <v>7700</v>
      </c>
      <c r="T507" s="278"/>
      <c r="V507" s="6">
        <f t="shared" si="155"/>
        <v>0</v>
      </c>
    </row>
    <row r="508" spans="1:22" s="26" customFormat="1" ht="30">
      <c r="A508" s="299">
        <v>7</v>
      </c>
      <c r="B508" s="300" t="s">
        <v>2774</v>
      </c>
      <c r="C508" s="324" t="s">
        <v>2639</v>
      </c>
      <c r="D508" s="302"/>
      <c r="E508" s="317">
        <v>2025</v>
      </c>
      <c r="F508" s="317" t="s">
        <v>2747</v>
      </c>
      <c r="G508" s="318">
        <v>3000</v>
      </c>
      <c r="H508" s="318"/>
      <c r="I508" s="318"/>
      <c r="J508" s="318"/>
      <c r="K508" s="318">
        <v>3000</v>
      </c>
      <c r="L508" s="333"/>
      <c r="M508" s="306">
        <v>3000</v>
      </c>
      <c r="N508" s="17"/>
      <c r="O508" s="17"/>
      <c r="P508" s="17"/>
      <c r="Q508" s="17"/>
      <c r="R508" s="17"/>
      <c r="S508" s="306">
        <v>3000</v>
      </c>
      <c r="T508" s="23"/>
      <c r="V508" s="6">
        <f t="shared" si="155"/>
        <v>0</v>
      </c>
    </row>
    <row r="509" spans="1:22" s="423" customFormat="1" ht="18" customHeight="1">
      <c r="A509" s="416" t="s">
        <v>69</v>
      </c>
      <c r="B509" s="417" t="s">
        <v>2776</v>
      </c>
      <c r="C509" s="418"/>
      <c r="D509" s="419"/>
      <c r="E509" s="420"/>
      <c r="F509" s="419"/>
      <c r="G509" s="419"/>
      <c r="H509" s="419"/>
      <c r="I509" s="419"/>
      <c r="J509" s="419"/>
      <c r="K509" s="421"/>
      <c r="L509" s="421"/>
      <c r="M509" s="421">
        <f t="shared" ref="M509:S509" si="170">SUM(M510:M512)</f>
        <v>811</v>
      </c>
      <c r="N509" s="421">
        <f t="shared" si="170"/>
        <v>0</v>
      </c>
      <c r="O509" s="421">
        <f t="shared" si="170"/>
        <v>0</v>
      </c>
      <c r="P509" s="421">
        <f t="shared" si="170"/>
        <v>0</v>
      </c>
      <c r="Q509" s="421">
        <f t="shared" si="170"/>
        <v>0</v>
      </c>
      <c r="R509" s="421">
        <f t="shared" si="170"/>
        <v>0</v>
      </c>
      <c r="S509" s="421">
        <f t="shared" si="170"/>
        <v>811</v>
      </c>
      <c r="T509" s="422"/>
      <c r="V509" s="6">
        <f t="shared" si="155"/>
        <v>0</v>
      </c>
    </row>
    <row r="510" spans="1:22" s="26" customFormat="1" ht="30">
      <c r="A510" s="204">
        <v>1</v>
      </c>
      <c r="B510" s="177" t="s">
        <v>2775</v>
      </c>
      <c r="C510" s="15" t="s">
        <v>2255</v>
      </c>
      <c r="D510" s="15"/>
      <c r="E510" s="15">
        <v>2025</v>
      </c>
      <c r="F510" s="521"/>
      <c r="G510" s="27"/>
      <c r="H510" s="27"/>
      <c r="I510" s="27"/>
      <c r="J510" s="27"/>
      <c r="K510" s="27"/>
      <c r="L510" s="522"/>
      <c r="M510" s="236">
        <f>SUM(N510:S510)</f>
        <v>300</v>
      </c>
      <c r="N510" s="24"/>
      <c r="O510" s="24"/>
      <c r="P510" s="24"/>
      <c r="Q510" s="24"/>
      <c r="R510" s="24"/>
      <c r="S510" s="236">
        <v>300</v>
      </c>
      <c r="T510" s="23"/>
      <c r="V510" s="6">
        <f t="shared" si="155"/>
        <v>0</v>
      </c>
    </row>
    <row r="511" spans="1:22" s="26" customFormat="1" ht="23.25" customHeight="1">
      <c r="A511" s="204">
        <v>2</v>
      </c>
      <c r="B511" s="514" t="s">
        <v>2773</v>
      </c>
      <c r="C511" s="515" t="s">
        <v>1949</v>
      </c>
      <c r="D511" s="513"/>
      <c r="E511" s="513" t="s">
        <v>160</v>
      </c>
      <c r="F511" s="516" t="s">
        <v>2127</v>
      </c>
      <c r="G511" s="517">
        <v>1555</v>
      </c>
      <c r="H511" s="518"/>
      <c r="I511" s="518"/>
      <c r="J511" s="518"/>
      <c r="K511" s="517">
        <f>G511</f>
        <v>1555</v>
      </c>
      <c r="L511" s="518"/>
      <c r="M511" s="519">
        <f>SUM(N511:S511)</f>
        <v>311</v>
      </c>
      <c r="N511" s="520"/>
      <c r="O511" s="17"/>
      <c r="P511" s="17"/>
      <c r="Q511" s="17"/>
      <c r="R511" s="17"/>
      <c r="S511" s="519">
        <v>311</v>
      </c>
      <c r="T511" s="278"/>
      <c r="V511" s="6">
        <f t="shared" si="155"/>
        <v>0</v>
      </c>
    </row>
    <row r="512" spans="1:22" s="26" customFormat="1" ht="30">
      <c r="A512" s="204">
        <v>3</v>
      </c>
      <c r="B512" s="300" t="s">
        <v>2748</v>
      </c>
      <c r="C512" s="324" t="s">
        <v>2639</v>
      </c>
      <c r="D512" s="302"/>
      <c r="E512" s="317">
        <v>2025</v>
      </c>
      <c r="F512" s="317" t="s">
        <v>2749</v>
      </c>
      <c r="G512" s="318">
        <v>200</v>
      </c>
      <c r="H512" s="318"/>
      <c r="I512" s="318"/>
      <c r="J512" s="318"/>
      <c r="K512" s="318">
        <v>200</v>
      </c>
      <c r="L512" s="333"/>
      <c r="M512" s="306">
        <v>200</v>
      </c>
      <c r="N512" s="17"/>
      <c r="O512" s="17"/>
      <c r="P512" s="17"/>
      <c r="Q512" s="17"/>
      <c r="R512" s="17"/>
      <c r="S512" s="306">
        <v>200</v>
      </c>
      <c r="T512" s="23"/>
      <c r="V512" s="6">
        <f t="shared" si="155"/>
        <v>0</v>
      </c>
    </row>
    <row r="513" spans="1:22" s="528" customFormat="1" ht="36.75" customHeight="1">
      <c r="A513" s="468" t="s">
        <v>35</v>
      </c>
      <c r="B513" s="523" t="s">
        <v>965</v>
      </c>
      <c r="C513" s="524"/>
      <c r="D513" s="524"/>
      <c r="E513" s="524"/>
      <c r="F513" s="524"/>
      <c r="G513" s="525">
        <f>G514+G595</f>
        <v>1282325.746</v>
      </c>
      <c r="H513" s="525"/>
      <c r="I513" s="525"/>
      <c r="J513" s="525"/>
      <c r="K513" s="525">
        <f>K514+K595</f>
        <v>1282325.746</v>
      </c>
      <c r="L513" s="525">
        <f>L514+L595</f>
        <v>59743.040999999997</v>
      </c>
      <c r="M513" s="526">
        <f t="shared" ref="M513:M576" si="171">SUM(N513:S513)</f>
        <v>876984.01430000004</v>
      </c>
      <c r="N513" s="526"/>
      <c r="O513" s="526"/>
      <c r="P513" s="526"/>
      <c r="Q513" s="526"/>
      <c r="R513" s="526"/>
      <c r="S513" s="526">
        <f>S514+S595</f>
        <v>876984.01430000004</v>
      </c>
      <c r="T513" s="527"/>
      <c r="V513" s="6">
        <f t="shared" si="155"/>
        <v>0</v>
      </c>
    </row>
    <row r="514" spans="1:22" ht="43.5" customHeight="1">
      <c r="A514" s="529" t="s">
        <v>37</v>
      </c>
      <c r="B514" s="530" t="s">
        <v>966</v>
      </c>
      <c r="C514" s="531"/>
      <c r="D514" s="531"/>
      <c r="E514" s="531"/>
      <c r="F514" s="531"/>
      <c r="G514" s="532">
        <f>SUM(G515:G594)</f>
        <v>27634.339000000007</v>
      </c>
      <c r="H514" s="532"/>
      <c r="I514" s="532"/>
      <c r="J514" s="532"/>
      <c r="K514" s="532">
        <f>SUM(K515:K594)</f>
        <v>27634.339000000007</v>
      </c>
      <c r="L514" s="532">
        <f>SUM(L515:L594)</f>
        <v>0</v>
      </c>
      <c r="M514" s="532">
        <f t="shared" si="171"/>
        <v>17173.866300000005</v>
      </c>
      <c r="N514" s="211"/>
      <c r="O514" s="211"/>
      <c r="P514" s="211"/>
      <c r="Q514" s="211"/>
      <c r="R514" s="211"/>
      <c r="S514" s="532">
        <f>SUM(S515:S594)</f>
        <v>17173.866300000005</v>
      </c>
      <c r="T514" s="37"/>
      <c r="V514" s="6">
        <f t="shared" si="155"/>
        <v>0</v>
      </c>
    </row>
    <row r="515" spans="1:22" ht="45">
      <c r="A515" s="204">
        <v>1</v>
      </c>
      <c r="B515" s="205" t="s">
        <v>967</v>
      </c>
      <c r="C515" s="206" t="s">
        <v>968</v>
      </c>
      <c r="D515" s="206" t="s">
        <v>31</v>
      </c>
      <c r="E515" s="207" t="s">
        <v>969</v>
      </c>
      <c r="F515" s="208"/>
      <c r="G515" s="209">
        <v>205.857</v>
      </c>
      <c r="H515" s="209"/>
      <c r="I515" s="209"/>
      <c r="J515" s="209"/>
      <c r="K515" s="209">
        <v>205.857</v>
      </c>
      <c r="L515" s="210"/>
      <c r="M515" s="210">
        <f t="shared" si="171"/>
        <v>139.935</v>
      </c>
      <c r="N515" s="211"/>
      <c r="O515" s="211"/>
      <c r="P515" s="211"/>
      <c r="Q515" s="211"/>
      <c r="R515" s="211"/>
      <c r="S515" s="210">
        <v>139.935</v>
      </c>
      <c r="T515" s="37"/>
      <c r="V515" s="6">
        <f t="shared" si="155"/>
        <v>0</v>
      </c>
    </row>
    <row r="516" spans="1:22" ht="45">
      <c r="A516" s="204">
        <v>2</v>
      </c>
      <c r="B516" s="205" t="s">
        <v>970</v>
      </c>
      <c r="C516" s="206" t="s">
        <v>968</v>
      </c>
      <c r="D516" s="206" t="s">
        <v>31</v>
      </c>
      <c r="E516" s="207" t="s">
        <v>969</v>
      </c>
      <c r="F516" s="208"/>
      <c r="G516" s="209">
        <v>337.50799999999998</v>
      </c>
      <c r="H516" s="209"/>
      <c r="I516" s="209"/>
      <c r="J516" s="209"/>
      <c r="K516" s="209">
        <v>337.50799999999998</v>
      </c>
      <c r="L516" s="210"/>
      <c r="M516" s="210">
        <f t="shared" si="171"/>
        <v>215</v>
      </c>
      <c r="N516" s="211"/>
      <c r="O516" s="211"/>
      <c r="P516" s="211"/>
      <c r="Q516" s="211"/>
      <c r="R516" s="211"/>
      <c r="S516" s="210">
        <v>215</v>
      </c>
      <c r="T516" s="37"/>
      <c r="V516" s="6">
        <f t="shared" si="155"/>
        <v>0</v>
      </c>
    </row>
    <row r="517" spans="1:22" ht="45">
      <c r="A517" s="204">
        <v>3</v>
      </c>
      <c r="B517" s="205" t="s">
        <v>971</v>
      </c>
      <c r="C517" s="206" t="s">
        <v>972</v>
      </c>
      <c r="D517" s="206" t="s">
        <v>31</v>
      </c>
      <c r="E517" s="207" t="s">
        <v>969</v>
      </c>
      <c r="F517" s="208"/>
      <c r="G517" s="209">
        <v>500.79500000000002</v>
      </c>
      <c r="H517" s="209"/>
      <c r="I517" s="209"/>
      <c r="J517" s="209"/>
      <c r="K517" s="209">
        <v>500.79500000000002</v>
      </c>
      <c r="L517" s="210"/>
      <c r="M517" s="210">
        <f t="shared" si="171"/>
        <v>231.33199999999999</v>
      </c>
      <c r="N517" s="211"/>
      <c r="O517" s="211"/>
      <c r="P517" s="211"/>
      <c r="Q517" s="211"/>
      <c r="R517" s="211"/>
      <c r="S517" s="210">
        <v>231.33199999999999</v>
      </c>
      <c r="T517" s="37"/>
      <c r="V517" s="6">
        <f t="shared" si="155"/>
        <v>0</v>
      </c>
    </row>
    <row r="518" spans="1:22" ht="30">
      <c r="A518" s="204">
        <v>4</v>
      </c>
      <c r="B518" s="205" t="s">
        <v>973</v>
      </c>
      <c r="C518" s="206" t="s">
        <v>974</v>
      </c>
      <c r="D518" s="206" t="s">
        <v>31</v>
      </c>
      <c r="E518" s="207" t="s">
        <v>975</v>
      </c>
      <c r="F518" s="208"/>
      <c r="G518" s="209">
        <v>561.78700000000003</v>
      </c>
      <c r="H518" s="209"/>
      <c r="I518" s="209"/>
      <c r="J518" s="209"/>
      <c r="K518" s="209">
        <v>561.78700000000003</v>
      </c>
      <c r="L518" s="210"/>
      <c r="M518" s="210">
        <f t="shared" si="171"/>
        <v>325.10500000000002</v>
      </c>
      <c r="N518" s="211"/>
      <c r="O518" s="211"/>
      <c r="P518" s="211"/>
      <c r="Q518" s="211"/>
      <c r="R518" s="211"/>
      <c r="S518" s="210">
        <v>325.10500000000002</v>
      </c>
      <c r="T518" s="37"/>
      <c r="V518" s="6">
        <f t="shared" si="155"/>
        <v>0</v>
      </c>
    </row>
    <row r="519" spans="1:22" ht="30">
      <c r="A519" s="204">
        <v>5</v>
      </c>
      <c r="B519" s="205" t="s">
        <v>976</v>
      </c>
      <c r="C519" s="206" t="s">
        <v>977</v>
      </c>
      <c r="D519" s="206" t="s">
        <v>31</v>
      </c>
      <c r="E519" s="207" t="s">
        <v>978</v>
      </c>
      <c r="F519" s="208" t="s">
        <v>979</v>
      </c>
      <c r="G519" s="209">
        <v>479.60700000000003</v>
      </c>
      <c r="H519" s="209"/>
      <c r="I519" s="209"/>
      <c r="J519" s="209"/>
      <c r="K519" s="209">
        <v>479.60700000000003</v>
      </c>
      <c r="L519" s="210"/>
      <c r="M519" s="210">
        <f t="shared" si="171"/>
        <v>226.97499999999999</v>
      </c>
      <c r="N519" s="211"/>
      <c r="O519" s="211"/>
      <c r="P519" s="211"/>
      <c r="Q519" s="211"/>
      <c r="R519" s="211"/>
      <c r="S519" s="210">
        <v>226.97499999999999</v>
      </c>
      <c r="T519" s="37"/>
      <c r="V519" s="6">
        <f t="shared" si="155"/>
        <v>0</v>
      </c>
    </row>
    <row r="520" spans="1:22" ht="45">
      <c r="A520" s="204">
        <v>6</v>
      </c>
      <c r="B520" s="205" t="s">
        <v>980</v>
      </c>
      <c r="C520" s="206" t="s">
        <v>981</v>
      </c>
      <c r="D520" s="206" t="s">
        <v>31</v>
      </c>
      <c r="E520" s="207" t="s">
        <v>978</v>
      </c>
      <c r="F520" s="208" t="s">
        <v>982</v>
      </c>
      <c r="G520" s="209">
        <v>314.50299999999999</v>
      </c>
      <c r="H520" s="209"/>
      <c r="I520" s="209"/>
      <c r="J520" s="209"/>
      <c r="K520" s="209">
        <v>314.50299999999999</v>
      </c>
      <c r="L520" s="210"/>
      <c r="M520" s="210">
        <f t="shared" si="171"/>
        <v>164.29400000000001</v>
      </c>
      <c r="N520" s="211"/>
      <c r="O520" s="211"/>
      <c r="P520" s="211"/>
      <c r="Q520" s="211"/>
      <c r="R520" s="211"/>
      <c r="S520" s="210">
        <v>164.29400000000001</v>
      </c>
      <c r="T520" s="37"/>
      <c r="V520" s="6">
        <f t="shared" si="155"/>
        <v>0</v>
      </c>
    </row>
    <row r="521" spans="1:22" ht="45">
      <c r="A521" s="204">
        <v>7</v>
      </c>
      <c r="B521" s="425" t="s">
        <v>2779</v>
      </c>
      <c r="C521" s="206" t="s">
        <v>40</v>
      </c>
      <c r="D521" s="206" t="s">
        <v>31</v>
      </c>
      <c r="E521" s="207" t="s">
        <v>983</v>
      </c>
      <c r="F521" s="208" t="s">
        <v>984</v>
      </c>
      <c r="G521" s="209">
        <v>310.20100000000002</v>
      </c>
      <c r="H521" s="209"/>
      <c r="I521" s="209"/>
      <c r="J521" s="209"/>
      <c r="K521" s="209">
        <v>310.20100000000002</v>
      </c>
      <c r="L521" s="210"/>
      <c r="M521" s="210">
        <f t="shared" si="171"/>
        <v>121.217</v>
      </c>
      <c r="N521" s="211"/>
      <c r="O521" s="211"/>
      <c r="P521" s="211"/>
      <c r="Q521" s="211"/>
      <c r="R521" s="211"/>
      <c r="S521" s="210">
        <v>121.217</v>
      </c>
      <c r="T521" s="37"/>
      <c r="V521" s="6">
        <f t="shared" si="155"/>
        <v>0</v>
      </c>
    </row>
    <row r="522" spans="1:22" ht="30">
      <c r="A522" s="204">
        <v>8</v>
      </c>
      <c r="B522" s="205" t="s">
        <v>985</v>
      </c>
      <c r="C522" s="206" t="s">
        <v>972</v>
      </c>
      <c r="D522" s="206" t="s">
        <v>31</v>
      </c>
      <c r="E522" s="207" t="s">
        <v>983</v>
      </c>
      <c r="F522" s="208" t="s">
        <v>986</v>
      </c>
      <c r="G522" s="209">
        <v>533.68500000000006</v>
      </c>
      <c r="H522" s="209"/>
      <c r="I522" s="209"/>
      <c r="J522" s="209"/>
      <c r="K522" s="209">
        <v>533.68500000000006</v>
      </c>
      <c r="L522" s="210"/>
      <c r="M522" s="210">
        <f t="shared" si="171"/>
        <v>293.76600000000002</v>
      </c>
      <c r="N522" s="211"/>
      <c r="O522" s="211"/>
      <c r="P522" s="211"/>
      <c r="Q522" s="211"/>
      <c r="R522" s="211"/>
      <c r="S522" s="210">
        <v>293.76600000000002</v>
      </c>
      <c r="T522" s="37"/>
      <c r="V522" s="6">
        <f t="shared" si="155"/>
        <v>0</v>
      </c>
    </row>
    <row r="523" spans="1:22" ht="90">
      <c r="A523" s="204">
        <v>9</v>
      </c>
      <c r="B523" s="205" t="s">
        <v>987</v>
      </c>
      <c r="C523" s="206" t="s">
        <v>40</v>
      </c>
      <c r="D523" s="206" t="s">
        <v>31</v>
      </c>
      <c r="E523" s="207" t="s">
        <v>988</v>
      </c>
      <c r="F523" s="208" t="s">
        <v>989</v>
      </c>
      <c r="G523" s="209">
        <v>275.41000000000003</v>
      </c>
      <c r="H523" s="209"/>
      <c r="I523" s="209"/>
      <c r="J523" s="209"/>
      <c r="K523" s="209">
        <v>275.41000000000003</v>
      </c>
      <c r="L523" s="210"/>
      <c r="M523" s="210">
        <f t="shared" si="171"/>
        <v>138.24600000000001</v>
      </c>
      <c r="N523" s="211"/>
      <c r="O523" s="211"/>
      <c r="P523" s="211"/>
      <c r="Q523" s="211"/>
      <c r="R523" s="211"/>
      <c r="S523" s="210">
        <v>138.24600000000001</v>
      </c>
      <c r="T523" s="37"/>
      <c r="V523" s="6">
        <f t="shared" si="155"/>
        <v>0</v>
      </c>
    </row>
    <row r="524" spans="1:22" ht="30">
      <c r="A524" s="204">
        <v>10</v>
      </c>
      <c r="B524" s="205" t="s">
        <v>990</v>
      </c>
      <c r="C524" s="206" t="s">
        <v>968</v>
      </c>
      <c r="D524" s="206" t="s">
        <v>26</v>
      </c>
      <c r="E524" s="207" t="s">
        <v>975</v>
      </c>
      <c r="F524" s="208" t="s">
        <v>991</v>
      </c>
      <c r="G524" s="209">
        <v>577.26700000000005</v>
      </c>
      <c r="H524" s="209"/>
      <c r="I524" s="209"/>
      <c r="J524" s="209"/>
      <c r="K524" s="209">
        <v>577.26700000000005</v>
      </c>
      <c r="L524" s="210"/>
      <c r="M524" s="210">
        <f t="shared" si="171"/>
        <v>492.565</v>
      </c>
      <c r="N524" s="211"/>
      <c r="O524" s="211"/>
      <c r="P524" s="211"/>
      <c r="Q524" s="211"/>
      <c r="R524" s="211"/>
      <c r="S524" s="210">
        <v>492.565</v>
      </c>
      <c r="T524" s="37"/>
      <c r="V524" s="6">
        <f t="shared" si="155"/>
        <v>0</v>
      </c>
    </row>
    <row r="525" spans="1:22" ht="30">
      <c r="A525" s="204">
        <v>11</v>
      </c>
      <c r="B525" s="205" t="s">
        <v>992</v>
      </c>
      <c r="C525" s="206" t="s">
        <v>993</v>
      </c>
      <c r="D525" s="206" t="s">
        <v>31</v>
      </c>
      <c r="E525" s="207" t="s">
        <v>978</v>
      </c>
      <c r="F525" s="208" t="s">
        <v>994</v>
      </c>
      <c r="G525" s="209">
        <v>314.48500000000001</v>
      </c>
      <c r="H525" s="209"/>
      <c r="I525" s="209"/>
      <c r="J525" s="209"/>
      <c r="K525" s="209">
        <v>314.48500000000001</v>
      </c>
      <c r="L525" s="210"/>
      <c r="M525" s="210">
        <f t="shared" si="171"/>
        <v>215.655</v>
      </c>
      <c r="N525" s="211"/>
      <c r="O525" s="211"/>
      <c r="P525" s="211"/>
      <c r="Q525" s="211"/>
      <c r="R525" s="211"/>
      <c r="S525" s="210">
        <v>215.655</v>
      </c>
      <c r="T525" s="37"/>
      <c r="V525" s="6">
        <f t="shared" si="155"/>
        <v>0</v>
      </c>
    </row>
    <row r="526" spans="1:22" ht="30">
      <c r="A526" s="204">
        <v>12</v>
      </c>
      <c r="B526" s="205" t="s">
        <v>995</v>
      </c>
      <c r="C526" s="206" t="s">
        <v>996</v>
      </c>
      <c r="D526" s="206" t="s">
        <v>31</v>
      </c>
      <c r="E526" s="207" t="s">
        <v>997</v>
      </c>
      <c r="F526" s="208" t="s">
        <v>998</v>
      </c>
      <c r="G526" s="209">
        <v>372.90300000000002</v>
      </c>
      <c r="H526" s="209"/>
      <c r="I526" s="209"/>
      <c r="J526" s="209"/>
      <c r="K526" s="209">
        <v>372.90300000000002</v>
      </c>
      <c r="L526" s="210"/>
      <c r="M526" s="210">
        <f t="shared" si="171"/>
        <v>267.95100000000002</v>
      </c>
      <c r="N526" s="211"/>
      <c r="O526" s="211"/>
      <c r="P526" s="211"/>
      <c r="Q526" s="211"/>
      <c r="R526" s="211"/>
      <c r="S526" s="210">
        <v>267.95100000000002</v>
      </c>
      <c r="T526" s="37"/>
      <c r="V526" s="6">
        <f t="shared" si="155"/>
        <v>0</v>
      </c>
    </row>
    <row r="527" spans="1:22" ht="30">
      <c r="A527" s="204">
        <v>13</v>
      </c>
      <c r="B527" s="205" t="s">
        <v>999</v>
      </c>
      <c r="C527" s="206" t="s">
        <v>974</v>
      </c>
      <c r="D527" s="206" t="s">
        <v>31</v>
      </c>
      <c r="E527" s="207" t="s">
        <v>1000</v>
      </c>
      <c r="F527" s="208" t="s">
        <v>1001</v>
      </c>
      <c r="G527" s="209">
        <v>169.55700000000002</v>
      </c>
      <c r="H527" s="209"/>
      <c r="I527" s="209"/>
      <c r="J527" s="209"/>
      <c r="K527" s="209">
        <v>169.55700000000002</v>
      </c>
      <c r="L527" s="210"/>
      <c r="M527" s="210">
        <f t="shared" si="171"/>
        <v>40.913000000000004</v>
      </c>
      <c r="N527" s="211"/>
      <c r="O527" s="211"/>
      <c r="P527" s="211"/>
      <c r="Q527" s="211"/>
      <c r="R527" s="211"/>
      <c r="S527" s="210">
        <v>40.913000000000004</v>
      </c>
      <c r="T527" s="37"/>
      <c r="V527" s="6">
        <f t="shared" si="155"/>
        <v>0</v>
      </c>
    </row>
    <row r="528" spans="1:22" ht="30">
      <c r="A528" s="204">
        <v>14</v>
      </c>
      <c r="B528" s="205" t="s">
        <v>1002</v>
      </c>
      <c r="C528" s="206" t="s">
        <v>40</v>
      </c>
      <c r="D528" s="206"/>
      <c r="E528" s="207"/>
      <c r="F528" s="208"/>
      <c r="G528" s="209">
        <v>298.90000000000003</v>
      </c>
      <c r="H528" s="209"/>
      <c r="I528" s="209"/>
      <c r="J528" s="209"/>
      <c r="K528" s="209">
        <v>298.90000000000003</v>
      </c>
      <c r="L528" s="210"/>
      <c r="M528" s="210">
        <f t="shared" si="171"/>
        <v>228.733</v>
      </c>
      <c r="N528" s="211"/>
      <c r="O528" s="211"/>
      <c r="P528" s="211"/>
      <c r="Q528" s="211"/>
      <c r="R528" s="211"/>
      <c r="S528" s="210">
        <v>228.733</v>
      </c>
      <c r="T528" s="37"/>
      <c r="V528" s="6">
        <f t="shared" si="155"/>
        <v>0</v>
      </c>
    </row>
    <row r="529" spans="1:22" ht="30">
      <c r="A529" s="204">
        <v>15</v>
      </c>
      <c r="B529" s="205" t="s">
        <v>1003</v>
      </c>
      <c r="C529" s="206" t="s">
        <v>40</v>
      </c>
      <c r="D529" s="206"/>
      <c r="E529" s="207"/>
      <c r="F529" s="208"/>
      <c r="G529" s="209">
        <v>613.85</v>
      </c>
      <c r="H529" s="209"/>
      <c r="I529" s="209"/>
      <c r="J529" s="209"/>
      <c r="K529" s="209">
        <v>613.85</v>
      </c>
      <c r="L529" s="210"/>
      <c r="M529" s="210">
        <f t="shared" si="171"/>
        <v>500</v>
      </c>
      <c r="N529" s="211"/>
      <c r="O529" s="211"/>
      <c r="P529" s="211"/>
      <c r="Q529" s="211"/>
      <c r="R529" s="211"/>
      <c r="S529" s="210">
        <v>500</v>
      </c>
      <c r="T529" s="37"/>
      <c r="V529" s="6">
        <f t="shared" si="155"/>
        <v>0</v>
      </c>
    </row>
    <row r="530" spans="1:22" ht="30">
      <c r="A530" s="204">
        <v>16</v>
      </c>
      <c r="B530" s="205" t="s">
        <v>1004</v>
      </c>
      <c r="C530" s="206" t="s">
        <v>968</v>
      </c>
      <c r="D530" s="206" t="s">
        <v>31</v>
      </c>
      <c r="E530" s="207" t="s">
        <v>969</v>
      </c>
      <c r="F530" s="208"/>
      <c r="G530" s="209">
        <v>494.62400000000002</v>
      </c>
      <c r="H530" s="209"/>
      <c r="I530" s="209"/>
      <c r="J530" s="209"/>
      <c r="K530" s="209">
        <v>494.62400000000002</v>
      </c>
      <c r="L530" s="210"/>
      <c r="M530" s="210">
        <f t="shared" si="171"/>
        <v>275</v>
      </c>
      <c r="N530" s="211"/>
      <c r="O530" s="211"/>
      <c r="P530" s="211"/>
      <c r="Q530" s="211"/>
      <c r="R530" s="211"/>
      <c r="S530" s="210">
        <v>275</v>
      </c>
      <c r="T530" s="37"/>
      <c r="V530" s="6">
        <f t="shared" si="155"/>
        <v>0</v>
      </c>
    </row>
    <row r="531" spans="1:22" ht="30">
      <c r="A531" s="204">
        <v>17</v>
      </c>
      <c r="B531" s="205" t="s">
        <v>1005</v>
      </c>
      <c r="C531" s="206" t="s">
        <v>981</v>
      </c>
      <c r="D531" s="206" t="s">
        <v>31</v>
      </c>
      <c r="E531" s="207" t="s">
        <v>969</v>
      </c>
      <c r="F531" s="208"/>
      <c r="G531" s="209">
        <v>351.59800000000001</v>
      </c>
      <c r="H531" s="209"/>
      <c r="I531" s="209"/>
      <c r="J531" s="209"/>
      <c r="K531" s="209">
        <v>351.59800000000001</v>
      </c>
      <c r="L531" s="210"/>
      <c r="M531" s="210">
        <f t="shared" si="171"/>
        <v>242.36700000000002</v>
      </c>
      <c r="N531" s="211"/>
      <c r="O531" s="211"/>
      <c r="P531" s="211"/>
      <c r="Q531" s="211"/>
      <c r="R531" s="211"/>
      <c r="S531" s="210">
        <v>242.36700000000002</v>
      </c>
      <c r="T531" s="37"/>
      <c r="V531" s="6">
        <f t="shared" si="155"/>
        <v>0</v>
      </c>
    </row>
    <row r="532" spans="1:22" ht="45">
      <c r="A532" s="204">
        <v>18</v>
      </c>
      <c r="B532" s="205" t="s">
        <v>1006</v>
      </c>
      <c r="C532" s="206" t="s">
        <v>40</v>
      </c>
      <c r="D532" s="206" t="s">
        <v>31</v>
      </c>
      <c r="E532" s="207" t="s">
        <v>969</v>
      </c>
      <c r="F532" s="208"/>
      <c r="G532" s="209">
        <v>233.584</v>
      </c>
      <c r="H532" s="209"/>
      <c r="I532" s="209"/>
      <c r="J532" s="209"/>
      <c r="K532" s="209">
        <v>233.584</v>
      </c>
      <c r="L532" s="210"/>
      <c r="M532" s="210">
        <f t="shared" si="171"/>
        <v>5</v>
      </c>
      <c r="N532" s="211"/>
      <c r="O532" s="211"/>
      <c r="P532" s="211"/>
      <c r="Q532" s="211"/>
      <c r="R532" s="211"/>
      <c r="S532" s="210">
        <v>5</v>
      </c>
      <c r="T532" s="37"/>
      <c r="V532" s="6">
        <f t="shared" ref="V532:V595" si="172">G532-H532-I532-J532-K532</f>
        <v>0</v>
      </c>
    </row>
    <row r="533" spans="1:22" ht="30">
      <c r="A533" s="204">
        <v>19</v>
      </c>
      <c r="B533" s="205" t="s">
        <v>1007</v>
      </c>
      <c r="C533" s="206" t="s">
        <v>1008</v>
      </c>
      <c r="D533" s="206" t="s">
        <v>31</v>
      </c>
      <c r="E533" s="207" t="s">
        <v>969</v>
      </c>
      <c r="F533" s="208"/>
      <c r="G533" s="209">
        <v>344.36400000000003</v>
      </c>
      <c r="H533" s="209"/>
      <c r="I533" s="209"/>
      <c r="J533" s="209"/>
      <c r="K533" s="209">
        <v>344.36400000000003</v>
      </c>
      <c r="L533" s="210"/>
      <c r="M533" s="210">
        <f t="shared" si="171"/>
        <v>277</v>
      </c>
      <c r="N533" s="211"/>
      <c r="O533" s="211"/>
      <c r="P533" s="211"/>
      <c r="Q533" s="211"/>
      <c r="R533" s="211"/>
      <c r="S533" s="210">
        <v>277</v>
      </c>
      <c r="T533" s="37"/>
      <c r="V533" s="6">
        <f t="shared" si="172"/>
        <v>0</v>
      </c>
    </row>
    <row r="534" spans="1:22" ht="45">
      <c r="A534" s="204">
        <v>20</v>
      </c>
      <c r="B534" s="205" t="s">
        <v>1009</v>
      </c>
      <c r="C534" s="206" t="s">
        <v>1010</v>
      </c>
      <c r="D534" s="206" t="s">
        <v>31</v>
      </c>
      <c r="E534" s="207" t="s">
        <v>983</v>
      </c>
      <c r="F534" s="208" t="s">
        <v>1011</v>
      </c>
      <c r="G534" s="209">
        <v>231.27</v>
      </c>
      <c r="H534" s="209"/>
      <c r="I534" s="209"/>
      <c r="J534" s="209"/>
      <c r="K534" s="209">
        <v>231.27</v>
      </c>
      <c r="L534" s="210"/>
      <c r="M534" s="210">
        <f t="shared" si="171"/>
        <v>142.10400000000001</v>
      </c>
      <c r="N534" s="211"/>
      <c r="O534" s="211"/>
      <c r="P534" s="211"/>
      <c r="Q534" s="211"/>
      <c r="R534" s="211"/>
      <c r="S534" s="210">
        <v>142.10400000000001</v>
      </c>
      <c r="T534" s="37"/>
      <c r="V534" s="6">
        <f t="shared" si="172"/>
        <v>0</v>
      </c>
    </row>
    <row r="535" spans="1:22" ht="45">
      <c r="A535" s="204">
        <v>21</v>
      </c>
      <c r="B535" s="205" t="s">
        <v>1012</v>
      </c>
      <c r="C535" s="206" t="s">
        <v>40</v>
      </c>
      <c r="D535" s="206" t="s">
        <v>31</v>
      </c>
      <c r="E535" s="207" t="s">
        <v>1013</v>
      </c>
      <c r="F535" s="208" t="s">
        <v>1014</v>
      </c>
      <c r="G535" s="209">
        <v>423.48599999999999</v>
      </c>
      <c r="H535" s="209"/>
      <c r="I535" s="209"/>
      <c r="J535" s="209"/>
      <c r="K535" s="209">
        <v>423.48599999999999</v>
      </c>
      <c r="L535" s="210"/>
      <c r="M535" s="210">
        <f t="shared" si="171"/>
        <v>284.05200000000002</v>
      </c>
      <c r="N535" s="211"/>
      <c r="O535" s="211"/>
      <c r="P535" s="211"/>
      <c r="Q535" s="211"/>
      <c r="R535" s="211"/>
      <c r="S535" s="210">
        <v>284.05200000000002</v>
      </c>
      <c r="T535" s="37"/>
      <c r="V535" s="6">
        <f t="shared" si="172"/>
        <v>0</v>
      </c>
    </row>
    <row r="536" spans="1:22" ht="45">
      <c r="A536" s="204">
        <v>22</v>
      </c>
      <c r="B536" s="205" t="s">
        <v>1015</v>
      </c>
      <c r="C536" s="206" t="s">
        <v>977</v>
      </c>
      <c r="D536" s="206" t="s">
        <v>31</v>
      </c>
      <c r="E536" s="207" t="s">
        <v>1016</v>
      </c>
      <c r="F536" s="208" t="s">
        <v>1017</v>
      </c>
      <c r="G536" s="209">
        <v>423.48599999999999</v>
      </c>
      <c r="H536" s="209"/>
      <c r="I536" s="209"/>
      <c r="J536" s="209"/>
      <c r="K536" s="209">
        <v>423.48599999999999</v>
      </c>
      <c r="L536" s="210"/>
      <c r="M536" s="210">
        <f t="shared" si="171"/>
        <v>246.56900000000002</v>
      </c>
      <c r="N536" s="211"/>
      <c r="O536" s="211"/>
      <c r="P536" s="211"/>
      <c r="Q536" s="211"/>
      <c r="R536" s="211"/>
      <c r="S536" s="210">
        <v>246.56900000000002</v>
      </c>
      <c r="T536" s="37"/>
      <c r="V536" s="6">
        <f t="shared" si="172"/>
        <v>0</v>
      </c>
    </row>
    <row r="537" spans="1:22" ht="30">
      <c r="A537" s="204">
        <v>23</v>
      </c>
      <c r="B537" s="205" t="s">
        <v>1018</v>
      </c>
      <c r="C537" s="206" t="s">
        <v>1008</v>
      </c>
      <c r="D537" s="206" t="s">
        <v>31</v>
      </c>
      <c r="E537" s="207" t="s">
        <v>983</v>
      </c>
      <c r="F537" s="208" t="s">
        <v>1019</v>
      </c>
      <c r="G537" s="209">
        <v>229.18800000000002</v>
      </c>
      <c r="H537" s="209"/>
      <c r="I537" s="209"/>
      <c r="J537" s="209"/>
      <c r="K537" s="209">
        <v>229.18800000000002</v>
      </c>
      <c r="L537" s="210"/>
      <c r="M537" s="210">
        <f t="shared" si="171"/>
        <v>164.072</v>
      </c>
      <c r="N537" s="211"/>
      <c r="O537" s="211"/>
      <c r="P537" s="211"/>
      <c r="Q537" s="211"/>
      <c r="R537" s="211"/>
      <c r="S537" s="210">
        <v>164.072</v>
      </c>
      <c r="T537" s="37"/>
      <c r="V537" s="6">
        <f t="shared" si="172"/>
        <v>0</v>
      </c>
    </row>
    <row r="538" spans="1:22" ht="30">
      <c r="A538" s="204">
        <v>24</v>
      </c>
      <c r="B538" s="205" t="s">
        <v>1020</v>
      </c>
      <c r="C538" s="206" t="s">
        <v>972</v>
      </c>
      <c r="D538" s="206" t="s">
        <v>31</v>
      </c>
      <c r="E538" s="207" t="s">
        <v>1016</v>
      </c>
      <c r="F538" s="208" t="s">
        <v>1021</v>
      </c>
      <c r="G538" s="209">
        <v>466.13200000000001</v>
      </c>
      <c r="H538" s="209"/>
      <c r="I538" s="209"/>
      <c r="J538" s="209"/>
      <c r="K538" s="209">
        <v>466.13200000000001</v>
      </c>
      <c r="L538" s="210"/>
      <c r="M538" s="210">
        <f t="shared" si="171"/>
        <v>334.36</v>
      </c>
      <c r="N538" s="211"/>
      <c r="O538" s="211"/>
      <c r="P538" s="211"/>
      <c r="Q538" s="211"/>
      <c r="R538" s="211"/>
      <c r="S538" s="210">
        <v>334.36</v>
      </c>
      <c r="T538" s="37"/>
      <c r="V538" s="6">
        <f t="shared" si="172"/>
        <v>0</v>
      </c>
    </row>
    <row r="539" spans="1:22" ht="30">
      <c r="A539" s="204">
        <v>25</v>
      </c>
      <c r="B539" s="205" t="s">
        <v>1022</v>
      </c>
      <c r="C539" s="206" t="s">
        <v>972</v>
      </c>
      <c r="D539" s="206" t="s">
        <v>31</v>
      </c>
      <c r="E539" s="207" t="s">
        <v>1016</v>
      </c>
      <c r="F539" s="208" t="s">
        <v>1023</v>
      </c>
      <c r="G539" s="209">
        <v>346.65500000000003</v>
      </c>
      <c r="H539" s="209"/>
      <c r="I539" s="209"/>
      <c r="J539" s="209"/>
      <c r="K539" s="209">
        <v>346.65500000000003</v>
      </c>
      <c r="L539" s="210"/>
      <c r="M539" s="210">
        <f t="shared" si="171"/>
        <v>256.875</v>
      </c>
      <c r="N539" s="211"/>
      <c r="O539" s="211"/>
      <c r="P539" s="211"/>
      <c r="Q539" s="211"/>
      <c r="R539" s="211"/>
      <c r="S539" s="210">
        <v>256.875</v>
      </c>
      <c r="T539" s="37"/>
      <c r="V539" s="6">
        <f t="shared" si="172"/>
        <v>0</v>
      </c>
    </row>
    <row r="540" spans="1:22" ht="30">
      <c r="A540" s="204">
        <v>26</v>
      </c>
      <c r="B540" s="205" t="s">
        <v>1024</v>
      </c>
      <c r="C540" s="206" t="s">
        <v>1008</v>
      </c>
      <c r="D540" s="206" t="s">
        <v>31</v>
      </c>
      <c r="E540" s="207"/>
      <c r="F540" s="208"/>
      <c r="G540" s="209">
        <v>190</v>
      </c>
      <c r="H540" s="209"/>
      <c r="I540" s="209"/>
      <c r="J540" s="209"/>
      <c r="K540" s="209">
        <v>190</v>
      </c>
      <c r="L540" s="210"/>
      <c r="M540" s="210">
        <f t="shared" si="171"/>
        <v>190</v>
      </c>
      <c r="N540" s="211"/>
      <c r="O540" s="211"/>
      <c r="P540" s="211"/>
      <c r="Q540" s="211"/>
      <c r="R540" s="211"/>
      <c r="S540" s="210">
        <v>190</v>
      </c>
      <c r="T540" s="37"/>
      <c r="V540" s="6">
        <f t="shared" si="172"/>
        <v>0</v>
      </c>
    </row>
    <row r="541" spans="1:22" ht="45">
      <c r="A541" s="204">
        <v>27</v>
      </c>
      <c r="B541" s="205" t="s">
        <v>1025</v>
      </c>
      <c r="C541" s="206" t="s">
        <v>40</v>
      </c>
      <c r="D541" s="206" t="s">
        <v>31</v>
      </c>
      <c r="E541" s="207" t="s">
        <v>969</v>
      </c>
      <c r="F541" s="208" t="s">
        <v>1026</v>
      </c>
      <c r="G541" s="209">
        <v>365.25200000000001</v>
      </c>
      <c r="H541" s="209"/>
      <c r="I541" s="209"/>
      <c r="J541" s="209"/>
      <c r="K541" s="209">
        <v>365.25200000000001</v>
      </c>
      <c r="L541" s="210"/>
      <c r="M541" s="210">
        <f t="shared" si="171"/>
        <v>338</v>
      </c>
      <c r="N541" s="211"/>
      <c r="O541" s="211"/>
      <c r="P541" s="211"/>
      <c r="Q541" s="211"/>
      <c r="R541" s="211"/>
      <c r="S541" s="210">
        <v>338</v>
      </c>
      <c r="T541" s="37"/>
      <c r="V541" s="6">
        <f t="shared" si="172"/>
        <v>0</v>
      </c>
    </row>
    <row r="542" spans="1:22" ht="30">
      <c r="A542" s="204">
        <v>28</v>
      </c>
      <c r="B542" s="205" t="s">
        <v>1027</v>
      </c>
      <c r="C542" s="206" t="s">
        <v>40</v>
      </c>
      <c r="D542" s="206" t="s">
        <v>31</v>
      </c>
      <c r="E542" s="207" t="s">
        <v>1000</v>
      </c>
      <c r="F542" s="208" t="s">
        <v>1028</v>
      </c>
      <c r="G542" s="209">
        <v>376.52600000000001</v>
      </c>
      <c r="H542" s="209"/>
      <c r="I542" s="209"/>
      <c r="J542" s="209"/>
      <c r="K542" s="209">
        <v>376.52600000000001</v>
      </c>
      <c r="L542" s="210"/>
      <c r="M542" s="210">
        <f t="shared" si="171"/>
        <v>273.16800000000001</v>
      </c>
      <c r="N542" s="211"/>
      <c r="O542" s="211"/>
      <c r="P542" s="211"/>
      <c r="Q542" s="211"/>
      <c r="R542" s="211"/>
      <c r="S542" s="210">
        <v>273.16800000000001</v>
      </c>
      <c r="T542" s="37"/>
      <c r="V542" s="6">
        <f t="shared" si="172"/>
        <v>0</v>
      </c>
    </row>
    <row r="543" spans="1:22" ht="30">
      <c r="A543" s="204">
        <v>29</v>
      </c>
      <c r="B543" s="205" t="s">
        <v>1029</v>
      </c>
      <c r="C543" s="206" t="s">
        <v>977</v>
      </c>
      <c r="D543" s="206" t="s">
        <v>31</v>
      </c>
      <c r="E543" s="207" t="s">
        <v>1000</v>
      </c>
      <c r="F543" s="208" t="s">
        <v>1030</v>
      </c>
      <c r="G543" s="209">
        <v>164.49100000000001</v>
      </c>
      <c r="H543" s="209"/>
      <c r="I543" s="209"/>
      <c r="J543" s="209"/>
      <c r="K543" s="209">
        <v>164.49100000000001</v>
      </c>
      <c r="L543" s="210"/>
      <c r="M543" s="210">
        <f t="shared" si="171"/>
        <v>135.44800000000001</v>
      </c>
      <c r="N543" s="211"/>
      <c r="O543" s="211"/>
      <c r="P543" s="211"/>
      <c r="Q543" s="211"/>
      <c r="R543" s="211"/>
      <c r="S543" s="210">
        <v>135.44800000000001</v>
      </c>
      <c r="T543" s="37"/>
      <c r="V543" s="6">
        <f t="shared" si="172"/>
        <v>0</v>
      </c>
    </row>
    <row r="544" spans="1:22" ht="30">
      <c r="A544" s="204">
        <v>30</v>
      </c>
      <c r="B544" s="205" t="s">
        <v>1031</v>
      </c>
      <c r="C544" s="206" t="s">
        <v>1010</v>
      </c>
      <c r="D544" s="206" t="s">
        <v>31</v>
      </c>
      <c r="E544" s="207" t="s">
        <v>1000</v>
      </c>
      <c r="F544" s="208" t="s">
        <v>1032</v>
      </c>
      <c r="G544" s="209">
        <v>200.73500000000001</v>
      </c>
      <c r="H544" s="209"/>
      <c r="I544" s="209"/>
      <c r="J544" s="209"/>
      <c r="K544" s="209">
        <v>200.73500000000001</v>
      </c>
      <c r="L544" s="210"/>
      <c r="M544" s="210">
        <f t="shared" si="171"/>
        <v>177.40899999999999</v>
      </c>
      <c r="N544" s="211"/>
      <c r="O544" s="211"/>
      <c r="P544" s="211"/>
      <c r="Q544" s="211"/>
      <c r="R544" s="211"/>
      <c r="S544" s="210">
        <v>177.40899999999999</v>
      </c>
      <c r="T544" s="37"/>
      <c r="V544" s="6">
        <f t="shared" si="172"/>
        <v>0</v>
      </c>
    </row>
    <row r="545" spans="1:22" ht="30">
      <c r="A545" s="204">
        <v>31</v>
      </c>
      <c r="B545" s="205" t="s">
        <v>1033</v>
      </c>
      <c r="C545" s="206" t="s">
        <v>968</v>
      </c>
      <c r="D545" s="206" t="s">
        <v>31</v>
      </c>
      <c r="E545" s="207" t="s">
        <v>1000</v>
      </c>
      <c r="F545" s="208" t="s">
        <v>1034</v>
      </c>
      <c r="G545" s="209">
        <v>244.76300000000001</v>
      </c>
      <c r="H545" s="209"/>
      <c r="I545" s="209"/>
      <c r="J545" s="209"/>
      <c r="K545" s="209">
        <v>244.76300000000001</v>
      </c>
      <c r="L545" s="210"/>
      <c r="M545" s="210">
        <f t="shared" si="171"/>
        <v>195.59</v>
      </c>
      <c r="N545" s="211"/>
      <c r="O545" s="211"/>
      <c r="P545" s="211"/>
      <c r="Q545" s="211"/>
      <c r="R545" s="211"/>
      <c r="S545" s="210">
        <v>195.59</v>
      </c>
      <c r="T545" s="37"/>
      <c r="V545" s="6">
        <f t="shared" si="172"/>
        <v>0</v>
      </c>
    </row>
    <row r="546" spans="1:22" ht="30">
      <c r="A546" s="204">
        <v>32</v>
      </c>
      <c r="B546" s="205" t="s">
        <v>1035</v>
      </c>
      <c r="C546" s="206" t="s">
        <v>1008</v>
      </c>
      <c r="D546" s="206" t="s">
        <v>31</v>
      </c>
      <c r="E546" s="207" t="s">
        <v>1000</v>
      </c>
      <c r="F546" s="208" t="s">
        <v>1036</v>
      </c>
      <c r="G546" s="209">
        <v>242.84100000000001</v>
      </c>
      <c r="H546" s="209"/>
      <c r="I546" s="209"/>
      <c r="J546" s="209"/>
      <c r="K546" s="209">
        <v>242.84100000000001</v>
      </c>
      <c r="L546" s="210"/>
      <c r="M546" s="210">
        <f t="shared" si="171"/>
        <v>237.661</v>
      </c>
      <c r="N546" s="211"/>
      <c r="O546" s="211"/>
      <c r="P546" s="211"/>
      <c r="Q546" s="211"/>
      <c r="R546" s="211"/>
      <c r="S546" s="210">
        <v>237.661</v>
      </c>
      <c r="T546" s="37"/>
      <c r="V546" s="6">
        <f t="shared" si="172"/>
        <v>0</v>
      </c>
    </row>
    <row r="547" spans="1:22" ht="30">
      <c r="A547" s="204">
        <v>33</v>
      </c>
      <c r="B547" s="205" t="s">
        <v>1037</v>
      </c>
      <c r="C547" s="206" t="s">
        <v>972</v>
      </c>
      <c r="D547" s="206" t="s">
        <v>31</v>
      </c>
      <c r="E547" s="207" t="s">
        <v>978</v>
      </c>
      <c r="F547" s="208" t="s">
        <v>1038</v>
      </c>
      <c r="G547" s="209">
        <v>403.53100000000001</v>
      </c>
      <c r="H547" s="209"/>
      <c r="I547" s="209"/>
      <c r="J547" s="209"/>
      <c r="K547" s="209">
        <v>403.53100000000001</v>
      </c>
      <c r="L547" s="210"/>
      <c r="M547" s="210">
        <f t="shared" si="171"/>
        <v>402.37900000000002</v>
      </c>
      <c r="N547" s="211"/>
      <c r="O547" s="211"/>
      <c r="P547" s="211"/>
      <c r="Q547" s="211"/>
      <c r="R547" s="211"/>
      <c r="S547" s="210">
        <v>402.37900000000002</v>
      </c>
      <c r="T547" s="37"/>
      <c r="V547" s="6">
        <f t="shared" si="172"/>
        <v>0</v>
      </c>
    </row>
    <row r="548" spans="1:22" ht="30">
      <c r="A548" s="204">
        <v>34</v>
      </c>
      <c r="B548" s="205" t="s">
        <v>1039</v>
      </c>
      <c r="C548" s="206" t="s">
        <v>972</v>
      </c>
      <c r="D548" s="206" t="s">
        <v>31</v>
      </c>
      <c r="E548" s="207" t="s">
        <v>1000</v>
      </c>
      <c r="F548" s="208" t="s">
        <v>1040</v>
      </c>
      <c r="G548" s="209">
        <v>548.15300000000002</v>
      </c>
      <c r="H548" s="209"/>
      <c r="I548" s="209"/>
      <c r="J548" s="209"/>
      <c r="K548" s="209">
        <v>548.15300000000002</v>
      </c>
      <c r="L548" s="210"/>
      <c r="M548" s="210">
        <f t="shared" si="171"/>
        <v>380.56400000000002</v>
      </c>
      <c r="N548" s="211"/>
      <c r="O548" s="211"/>
      <c r="P548" s="211"/>
      <c r="Q548" s="211"/>
      <c r="R548" s="211"/>
      <c r="S548" s="210">
        <v>380.56400000000002</v>
      </c>
      <c r="T548" s="37"/>
      <c r="V548" s="6">
        <f t="shared" si="172"/>
        <v>0</v>
      </c>
    </row>
    <row r="549" spans="1:22" ht="30">
      <c r="A549" s="204">
        <v>35</v>
      </c>
      <c r="B549" s="205" t="s">
        <v>1041</v>
      </c>
      <c r="C549" s="206" t="s">
        <v>1010</v>
      </c>
      <c r="D549" s="206" t="s">
        <v>31</v>
      </c>
      <c r="E549" s="207" t="s">
        <v>978</v>
      </c>
      <c r="F549" s="208" t="s">
        <v>1042</v>
      </c>
      <c r="G549" s="209">
        <v>243.54599999999999</v>
      </c>
      <c r="H549" s="209"/>
      <c r="I549" s="209"/>
      <c r="J549" s="209"/>
      <c r="K549" s="209">
        <v>243.54599999999999</v>
      </c>
      <c r="L549" s="210"/>
      <c r="M549" s="210">
        <f t="shared" si="171"/>
        <v>159.857</v>
      </c>
      <c r="N549" s="211"/>
      <c r="O549" s="211"/>
      <c r="P549" s="211"/>
      <c r="Q549" s="211"/>
      <c r="R549" s="211"/>
      <c r="S549" s="210">
        <v>159.857</v>
      </c>
      <c r="T549" s="37"/>
      <c r="V549" s="6">
        <f t="shared" si="172"/>
        <v>0</v>
      </c>
    </row>
    <row r="550" spans="1:22" ht="30">
      <c r="A550" s="204">
        <v>36</v>
      </c>
      <c r="B550" s="205" t="s">
        <v>1043</v>
      </c>
      <c r="C550" s="206" t="s">
        <v>968</v>
      </c>
      <c r="D550" s="206" t="s">
        <v>31</v>
      </c>
      <c r="E550" s="207" t="s">
        <v>978</v>
      </c>
      <c r="F550" s="208" t="s">
        <v>1044</v>
      </c>
      <c r="G550" s="209">
        <v>152.321</v>
      </c>
      <c r="H550" s="209"/>
      <c r="I550" s="209"/>
      <c r="J550" s="209"/>
      <c r="K550" s="209">
        <v>152.321</v>
      </c>
      <c r="L550" s="210"/>
      <c r="M550" s="210">
        <f t="shared" si="171"/>
        <v>108.892</v>
      </c>
      <c r="N550" s="211"/>
      <c r="O550" s="211"/>
      <c r="P550" s="211"/>
      <c r="Q550" s="211"/>
      <c r="R550" s="211"/>
      <c r="S550" s="210">
        <v>108.892</v>
      </c>
      <c r="T550" s="37"/>
      <c r="V550" s="6">
        <f t="shared" si="172"/>
        <v>0</v>
      </c>
    </row>
    <row r="551" spans="1:22" ht="45">
      <c r="A551" s="204">
        <v>37</v>
      </c>
      <c r="B551" s="205" t="s">
        <v>1045</v>
      </c>
      <c r="C551" s="206" t="s">
        <v>996</v>
      </c>
      <c r="D551" s="206" t="s">
        <v>31</v>
      </c>
      <c r="E551" s="207" t="s">
        <v>978</v>
      </c>
      <c r="F551" s="208" t="s">
        <v>1046</v>
      </c>
      <c r="G551" s="209">
        <v>130.614</v>
      </c>
      <c r="H551" s="209"/>
      <c r="I551" s="209"/>
      <c r="J551" s="209"/>
      <c r="K551" s="209">
        <v>130.614</v>
      </c>
      <c r="L551" s="210"/>
      <c r="M551" s="210">
        <f t="shared" si="171"/>
        <v>112.34700000000001</v>
      </c>
      <c r="N551" s="211"/>
      <c r="O551" s="211"/>
      <c r="P551" s="211"/>
      <c r="Q551" s="211"/>
      <c r="R551" s="211"/>
      <c r="S551" s="210">
        <v>112.34700000000001</v>
      </c>
      <c r="T551" s="37"/>
      <c r="V551" s="6">
        <f t="shared" si="172"/>
        <v>0</v>
      </c>
    </row>
    <row r="552" spans="1:22" ht="45">
      <c r="A552" s="204">
        <v>38</v>
      </c>
      <c r="B552" s="205" t="s">
        <v>1047</v>
      </c>
      <c r="C552" s="206" t="s">
        <v>40</v>
      </c>
      <c r="D552" s="206" t="s">
        <v>31</v>
      </c>
      <c r="E552" s="207" t="s">
        <v>978</v>
      </c>
      <c r="F552" s="208" t="s">
        <v>1048</v>
      </c>
      <c r="G552" s="209">
        <v>556.55799999999999</v>
      </c>
      <c r="H552" s="209"/>
      <c r="I552" s="209"/>
      <c r="J552" s="209"/>
      <c r="K552" s="209">
        <v>556.55799999999999</v>
      </c>
      <c r="L552" s="210"/>
      <c r="M552" s="210">
        <f t="shared" si="171"/>
        <v>554.86800000000005</v>
      </c>
      <c r="N552" s="211"/>
      <c r="O552" s="211"/>
      <c r="P552" s="211"/>
      <c r="Q552" s="211"/>
      <c r="R552" s="211"/>
      <c r="S552" s="210">
        <v>554.86800000000005</v>
      </c>
      <c r="T552" s="37"/>
      <c r="V552" s="6">
        <f t="shared" si="172"/>
        <v>0</v>
      </c>
    </row>
    <row r="553" spans="1:22" ht="75">
      <c r="A553" s="204">
        <v>39</v>
      </c>
      <c r="B553" s="205" t="s">
        <v>1049</v>
      </c>
      <c r="C553" s="206" t="s">
        <v>40</v>
      </c>
      <c r="D553" s="206" t="s">
        <v>31</v>
      </c>
      <c r="E553" s="207" t="s">
        <v>1013</v>
      </c>
      <c r="F553" s="208" t="s">
        <v>1050</v>
      </c>
      <c r="G553" s="209">
        <v>245.46</v>
      </c>
      <c r="H553" s="209"/>
      <c r="I553" s="209"/>
      <c r="J553" s="209"/>
      <c r="K553" s="209">
        <v>245.46</v>
      </c>
      <c r="L553" s="210"/>
      <c r="M553" s="210">
        <f t="shared" si="171"/>
        <v>244.988</v>
      </c>
      <c r="N553" s="211"/>
      <c r="O553" s="211"/>
      <c r="P553" s="211"/>
      <c r="Q553" s="211"/>
      <c r="R553" s="211"/>
      <c r="S553" s="210">
        <v>244.988</v>
      </c>
      <c r="T553" s="37"/>
      <c r="V553" s="6">
        <f t="shared" si="172"/>
        <v>0</v>
      </c>
    </row>
    <row r="554" spans="1:22" ht="60">
      <c r="A554" s="204">
        <v>40</v>
      </c>
      <c r="B554" s="205" t="s">
        <v>1051</v>
      </c>
      <c r="C554" s="206" t="s">
        <v>40</v>
      </c>
      <c r="D554" s="206" t="s">
        <v>31</v>
      </c>
      <c r="E554" s="207" t="s">
        <v>988</v>
      </c>
      <c r="F554" s="208" t="s">
        <v>1052</v>
      </c>
      <c r="G554" s="209">
        <v>456.70499999999998</v>
      </c>
      <c r="H554" s="209"/>
      <c r="I554" s="209"/>
      <c r="J554" s="209"/>
      <c r="K554" s="209">
        <v>456.70499999999998</v>
      </c>
      <c r="L554" s="210"/>
      <c r="M554" s="210">
        <f t="shared" si="171"/>
        <v>300</v>
      </c>
      <c r="N554" s="211"/>
      <c r="O554" s="211"/>
      <c r="P554" s="211"/>
      <c r="Q554" s="211"/>
      <c r="R554" s="211"/>
      <c r="S554" s="210">
        <v>300</v>
      </c>
      <c r="T554" s="37"/>
      <c r="V554" s="6">
        <f t="shared" si="172"/>
        <v>0</v>
      </c>
    </row>
    <row r="555" spans="1:22" ht="30">
      <c r="A555" s="204">
        <v>41</v>
      </c>
      <c r="B555" s="205" t="s">
        <v>1053</v>
      </c>
      <c r="C555" s="206" t="s">
        <v>40</v>
      </c>
      <c r="D555" s="206" t="s">
        <v>31</v>
      </c>
      <c r="E555" s="207" t="s">
        <v>988</v>
      </c>
      <c r="F555" s="208" t="s">
        <v>1054</v>
      </c>
      <c r="G555" s="209">
        <v>298.20300000000003</v>
      </c>
      <c r="H555" s="209"/>
      <c r="I555" s="209"/>
      <c r="J555" s="209"/>
      <c r="K555" s="209">
        <v>298.20300000000003</v>
      </c>
      <c r="L555" s="210"/>
      <c r="M555" s="210">
        <f t="shared" si="171"/>
        <v>297.54300000000001</v>
      </c>
      <c r="N555" s="211"/>
      <c r="O555" s="211"/>
      <c r="P555" s="211"/>
      <c r="Q555" s="211"/>
      <c r="R555" s="211"/>
      <c r="S555" s="210">
        <v>297.54300000000001</v>
      </c>
      <c r="T555" s="37"/>
      <c r="V555" s="6">
        <f t="shared" si="172"/>
        <v>0</v>
      </c>
    </row>
    <row r="556" spans="1:22" ht="30">
      <c r="A556" s="204">
        <v>42</v>
      </c>
      <c r="B556" s="205" t="s">
        <v>1055</v>
      </c>
      <c r="C556" s="206" t="s">
        <v>981</v>
      </c>
      <c r="D556" s="206" t="s">
        <v>31</v>
      </c>
      <c r="E556" s="207" t="s">
        <v>983</v>
      </c>
      <c r="F556" s="208" t="s">
        <v>1056</v>
      </c>
      <c r="G556" s="209">
        <v>183.578</v>
      </c>
      <c r="H556" s="209"/>
      <c r="I556" s="209"/>
      <c r="J556" s="209"/>
      <c r="K556" s="209">
        <v>183.578</v>
      </c>
      <c r="L556" s="210"/>
      <c r="M556" s="210">
        <f t="shared" si="171"/>
        <v>42.648000000000003</v>
      </c>
      <c r="N556" s="211"/>
      <c r="O556" s="211"/>
      <c r="P556" s="211"/>
      <c r="Q556" s="211"/>
      <c r="R556" s="211"/>
      <c r="S556" s="210">
        <v>42.648000000000003</v>
      </c>
      <c r="T556" s="37"/>
      <c r="V556" s="6">
        <f t="shared" si="172"/>
        <v>0</v>
      </c>
    </row>
    <row r="557" spans="1:22" ht="30">
      <c r="A557" s="204">
        <v>43</v>
      </c>
      <c r="B557" s="205" t="s">
        <v>1057</v>
      </c>
      <c r="C557" s="206" t="s">
        <v>993</v>
      </c>
      <c r="D557" s="206" t="s">
        <v>31</v>
      </c>
      <c r="E557" s="207" t="s">
        <v>1013</v>
      </c>
      <c r="F557" s="208" t="s">
        <v>1058</v>
      </c>
      <c r="G557" s="209">
        <v>37.619</v>
      </c>
      <c r="H557" s="209"/>
      <c r="I557" s="209"/>
      <c r="J557" s="209"/>
      <c r="K557" s="209">
        <v>37.619</v>
      </c>
      <c r="L557" s="210"/>
      <c r="M557" s="210">
        <f t="shared" si="171"/>
        <v>32.744</v>
      </c>
      <c r="N557" s="211"/>
      <c r="O557" s="211"/>
      <c r="P557" s="211"/>
      <c r="Q557" s="211"/>
      <c r="R557" s="211"/>
      <c r="S557" s="210">
        <v>32.744</v>
      </c>
      <c r="T557" s="37"/>
      <c r="V557" s="6">
        <f t="shared" si="172"/>
        <v>0</v>
      </c>
    </row>
    <row r="558" spans="1:22" ht="45">
      <c r="A558" s="204">
        <v>44</v>
      </c>
      <c r="B558" s="205" t="s">
        <v>1059</v>
      </c>
      <c r="C558" s="206" t="s">
        <v>1008</v>
      </c>
      <c r="D558" s="206" t="s">
        <v>31</v>
      </c>
      <c r="E558" s="207" t="s">
        <v>978</v>
      </c>
      <c r="F558" s="208" t="s">
        <v>1060</v>
      </c>
      <c r="G558" s="209">
        <v>62.753999999999998</v>
      </c>
      <c r="H558" s="209"/>
      <c r="I558" s="209"/>
      <c r="J558" s="209"/>
      <c r="K558" s="209">
        <v>62.753999999999998</v>
      </c>
      <c r="L558" s="210"/>
      <c r="M558" s="210">
        <f t="shared" si="171"/>
        <v>62.128999999999998</v>
      </c>
      <c r="N558" s="211"/>
      <c r="O558" s="211"/>
      <c r="P558" s="211"/>
      <c r="Q558" s="211"/>
      <c r="R558" s="211"/>
      <c r="S558" s="210">
        <v>62.128999999999998</v>
      </c>
      <c r="T558" s="37"/>
      <c r="V558" s="6">
        <f t="shared" si="172"/>
        <v>0</v>
      </c>
    </row>
    <row r="559" spans="1:22" ht="30">
      <c r="A559" s="204">
        <v>45</v>
      </c>
      <c r="B559" s="205" t="s">
        <v>1061</v>
      </c>
      <c r="C559" s="206" t="s">
        <v>972</v>
      </c>
      <c r="D559" s="206" t="s">
        <v>31</v>
      </c>
      <c r="E559" s="207" t="s">
        <v>978</v>
      </c>
      <c r="F559" s="208" t="s">
        <v>1062</v>
      </c>
      <c r="G559" s="209">
        <v>123.59</v>
      </c>
      <c r="H559" s="209"/>
      <c r="I559" s="209"/>
      <c r="J559" s="209"/>
      <c r="K559" s="209">
        <v>123.59</v>
      </c>
      <c r="L559" s="210"/>
      <c r="M559" s="210">
        <f t="shared" si="171"/>
        <v>122.654</v>
      </c>
      <c r="N559" s="211"/>
      <c r="O559" s="211"/>
      <c r="P559" s="211"/>
      <c r="Q559" s="211"/>
      <c r="R559" s="211"/>
      <c r="S559" s="210">
        <v>122.654</v>
      </c>
      <c r="T559" s="37"/>
      <c r="V559" s="6">
        <f t="shared" si="172"/>
        <v>0</v>
      </c>
    </row>
    <row r="560" spans="1:22" ht="45">
      <c r="A560" s="204">
        <v>46</v>
      </c>
      <c r="B560" s="205" t="s">
        <v>1063</v>
      </c>
      <c r="C560" s="206" t="s">
        <v>40</v>
      </c>
      <c r="D560" s="206" t="s">
        <v>31</v>
      </c>
      <c r="E560" s="207" t="s">
        <v>1013</v>
      </c>
      <c r="F560" s="208" t="s">
        <v>1064</v>
      </c>
      <c r="G560" s="209">
        <v>225.798</v>
      </c>
      <c r="H560" s="209"/>
      <c r="I560" s="209"/>
      <c r="J560" s="209"/>
      <c r="K560" s="209">
        <v>225.798</v>
      </c>
      <c r="L560" s="210"/>
      <c r="M560" s="210">
        <f t="shared" si="171"/>
        <v>220</v>
      </c>
      <c r="N560" s="211"/>
      <c r="O560" s="211"/>
      <c r="P560" s="211"/>
      <c r="Q560" s="211"/>
      <c r="R560" s="211"/>
      <c r="S560" s="210">
        <v>220</v>
      </c>
      <c r="T560" s="37"/>
      <c r="V560" s="6">
        <f t="shared" si="172"/>
        <v>0</v>
      </c>
    </row>
    <row r="561" spans="1:22" ht="60">
      <c r="A561" s="204">
        <v>47</v>
      </c>
      <c r="B561" s="205" t="s">
        <v>1065</v>
      </c>
      <c r="C561" s="206" t="s">
        <v>40</v>
      </c>
      <c r="D561" s="206" t="s">
        <v>31</v>
      </c>
      <c r="E561" s="207"/>
      <c r="F561" s="208" t="s">
        <v>1066</v>
      </c>
      <c r="G561" s="209">
        <v>56.706000000000003</v>
      </c>
      <c r="H561" s="209"/>
      <c r="I561" s="209"/>
      <c r="J561" s="209"/>
      <c r="K561" s="209">
        <v>56.706000000000003</v>
      </c>
      <c r="L561" s="210"/>
      <c r="M561" s="210">
        <f t="shared" si="171"/>
        <v>54.047000000000004</v>
      </c>
      <c r="N561" s="211"/>
      <c r="O561" s="211"/>
      <c r="P561" s="211"/>
      <c r="Q561" s="211"/>
      <c r="R561" s="211"/>
      <c r="S561" s="210">
        <v>54.047000000000004</v>
      </c>
      <c r="T561" s="37"/>
      <c r="V561" s="6">
        <f t="shared" si="172"/>
        <v>0</v>
      </c>
    </row>
    <row r="562" spans="1:22" ht="75">
      <c r="A562" s="204">
        <v>48</v>
      </c>
      <c r="B562" s="205" t="s">
        <v>1067</v>
      </c>
      <c r="C562" s="206" t="s">
        <v>40</v>
      </c>
      <c r="D562" s="206" t="s">
        <v>31</v>
      </c>
      <c r="E562" s="207" t="s">
        <v>1013</v>
      </c>
      <c r="F562" s="208" t="s">
        <v>1068</v>
      </c>
      <c r="G562" s="209">
        <v>248.25</v>
      </c>
      <c r="H562" s="209"/>
      <c r="I562" s="209"/>
      <c r="J562" s="209"/>
      <c r="K562" s="209">
        <v>248.25</v>
      </c>
      <c r="L562" s="210"/>
      <c r="M562" s="210">
        <f t="shared" si="171"/>
        <v>240.79</v>
      </c>
      <c r="N562" s="211"/>
      <c r="O562" s="211"/>
      <c r="P562" s="211"/>
      <c r="Q562" s="211"/>
      <c r="R562" s="211"/>
      <c r="S562" s="210">
        <v>240.79</v>
      </c>
      <c r="T562" s="37"/>
      <c r="V562" s="6">
        <f t="shared" si="172"/>
        <v>0</v>
      </c>
    </row>
    <row r="563" spans="1:22" ht="75">
      <c r="A563" s="204">
        <v>49</v>
      </c>
      <c r="B563" s="205" t="s">
        <v>1069</v>
      </c>
      <c r="C563" s="206" t="s">
        <v>40</v>
      </c>
      <c r="D563" s="206" t="s">
        <v>31</v>
      </c>
      <c r="E563" s="207" t="s">
        <v>983</v>
      </c>
      <c r="F563" s="208" t="s">
        <v>1070</v>
      </c>
      <c r="G563" s="209">
        <v>407.03500000000003</v>
      </c>
      <c r="H563" s="209"/>
      <c r="I563" s="209"/>
      <c r="J563" s="209"/>
      <c r="K563" s="209">
        <v>407.03500000000003</v>
      </c>
      <c r="L563" s="210"/>
      <c r="M563" s="210">
        <f t="shared" si="171"/>
        <v>320.072</v>
      </c>
      <c r="N563" s="211"/>
      <c r="O563" s="211"/>
      <c r="P563" s="211"/>
      <c r="Q563" s="211"/>
      <c r="R563" s="211"/>
      <c r="S563" s="210">
        <v>320.072</v>
      </c>
      <c r="T563" s="37"/>
      <c r="V563" s="6">
        <f t="shared" si="172"/>
        <v>0</v>
      </c>
    </row>
    <row r="564" spans="1:22" ht="45">
      <c r="A564" s="204">
        <v>50</v>
      </c>
      <c r="B564" s="205" t="s">
        <v>1071</v>
      </c>
      <c r="C564" s="206" t="s">
        <v>1072</v>
      </c>
      <c r="D564" s="206" t="s">
        <v>31</v>
      </c>
      <c r="E564" s="207" t="s">
        <v>983</v>
      </c>
      <c r="F564" s="208" t="s">
        <v>1073</v>
      </c>
      <c r="G564" s="209">
        <v>375.87799999999999</v>
      </c>
      <c r="H564" s="209"/>
      <c r="I564" s="209"/>
      <c r="J564" s="209"/>
      <c r="K564" s="209">
        <v>375.87799999999999</v>
      </c>
      <c r="L564" s="210"/>
      <c r="M564" s="210">
        <f t="shared" si="171"/>
        <v>399.61599999999999</v>
      </c>
      <c r="N564" s="211"/>
      <c r="O564" s="211"/>
      <c r="P564" s="211"/>
      <c r="Q564" s="211"/>
      <c r="R564" s="211"/>
      <c r="S564" s="210">
        <v>399.61599999999999</v>
      </c>
      <c r="T564" s="37"/>
      <c r="V564" s="6">
        <f t="shared" si="172"/>
        <v>0</v>
      </c>
    </row>
    <row r="565" spans="1:22" ht="105">
      <c r="A565" s="204">
        <v>51</v>
      </c>
      <c r="B565" s="205" t="s">
        <v>1074</v>
      </c>
      <c r="C565" s="206" t="s">
        <v>1010</v>
      </c>
      <c r="D565" s="206" t="s">
        <v>31</v>
      </c>
      <c r="E565" s="207" t="s">
        <v>983</v>
      </c>
      <c r="F565" s="208" t="s">
        <v>1075</v>
      </c>
      <c r="G565" s="209">
        <v>492.37600000000003</v>
      </c>
      <c r="H565" s="209"/>
      <c r="I565" s="209"/>
      <c r="J565" s="209"/>
      <c r="K565" s="209">
        <v>492.37600000000003</v>
      </c>
      <c r="L565" s="210"/>
      <c r="M565" s="210">
        <f t="shared" si="171"/>
        <v>438.62600000000003</v>
      </c>
      <c r="N565" s="211"/>
      <c r="O565" s="211"/>
      <c r="P565" s="211"/>
      <c r="Q565" s="211"/>
      <c r="R565" s="211"/>
      <c r="S565" s="210">
        <v>438.62600000000003</v>
      </c>
      <c r="T565" s="37"/>
      <c r="V565" s="6">
        <f t="shared" si="172"/>
        <v>0</v>
      </c>
    </row>
    <row r="566" spans="1:22" ht="45">
      <c r="A566" s="204">
        <v>52</v>
      </c>
      <c r="B566" s="205" t="s">
        <v>1076</v>
      </c>
      <c r="C566" s="206" t="s">
        <v>1008</v>
      </c>
      <c r="D566" s="206" t="s">
        <v>31</v>
      </c>
      <c r="E566" s="207" t="s">
        <v>983</v>
      </c>
      <c r="F566" s="208" t="s">
        <v>1077</v>
      </c>
      <c r="G566" s="209">
        <v>198.57</v>
      </c>
      <c r="H566" s="209"/>
      <c r="I566" s="209"/>
      <c r="J566" s="209"/>
      <c r="K566" s="209">
        <v>198.57</v>
      </c>
      <c r="L566" s="210"/>
      <c r="M566" s="210">
        <f t="shared" si="171"/>
        <v>178.923</v>
      </c>
      <c r="N566" s="211"/>
      <c r="O566" s="211"/>
      <c r="P566" s="211"/>
      <c r="Q566" s="211"/>
      <c r="R566" s="211"/>
      <c r="S566" s="210">
        <v>178.923</v>
      </c>
      <c r="T566" s="37"/>
      <c r="V566" s="6">
        <f t="shared" si="172"/>
        <v>0</v>
      </c>
    </row>
    <row r="567" spans="1:22" ht="45">
      <c r="A567" s="204">
        <v>53</v>
      </c>
      <c r="B567" s="205" t="s">
        <v>1078</v>
      </c>
      <c r="C567" s="206" t="s">
        <v>974</v>
      </c>
      <c r="D567" s="206" t="s">
        <v>31</v>
      </c>
      <c r="E567" s="207" t="s">
        <v>983</v>
      </c>
      <c r="F567" s="208" t="s">
        <v>1079</v>
      </c>
      <c r="G567" s="209">
        <v>446.02500000000003</v>
      </c>
      <c r="H567" s="209"/>
      <c r="I567" s="209"/>
      <c r="J567" s="209"/>
      <c r="K567" s="209">
        <v>446.02500000000003</v>
      </c>
      <c r="L567" s="212"/>
      <c r="M567" s="212">
        <f t="shared" si="171"/>
        <v>426.62900000000002</v>
      </c>
      <c r="N567" s="211"/>
      <c r="O567" s="211"/>
      <c r="P567" s="211"/>
      <c r="Q567" s="211"/>
      <c r="R567" s="211"/>
      <c r="S567" s="212">
        <v>426.62900000000002</v>
      </c>
      <c r="T567" s="37"/>
      <c r="V567" s="6">
        <f t="shared" si="172"/>
        <v>0</v>
      </c>
    </row>
    <row r="568" spans="1:22" ht="60">
      <c r="A568" s="204">
        <v>54</v>
      </c>
      <c r="B568" s="205" t="s">
        <v>1080</v>
      </c>
      <c r="C568" s="206" t="s">
        <v>40</v>
      </c>
      <c r="D568" s="206" t="s">
        <v>31</v>
      </c>
      <c r="E568" s="207" t="s">
        <v>983</v>
      </c>
      <c r="F568" s="208" t="s">
        <v>1081</v>
      </c>
      <c r="G568" s="209">
        <v>574.00599999999997</v>
      </c>
      <c r="H568" s="209"/>
      <c r="I568" s="209"/>
      <c r="J568" s="209"/>
      <c r="K568" s="209">
        <v>574.00599999999997</v>
      </c>
      <c r="L568" s="210"/>
      <c r="M568" s="210">
        <f t="shared" si="171"/>
        <v>561.30799999999999</v>
      </c>
      <c r="N568" s="211"/>
      <c r="O568" s="211"/>
      <c r="P568" s="211"/>
      <c r="Q568" s="211"/>
      <c r="R568" s="211"/>
      <c r="S568" s="210">
        <v>561.30799999999999</v>
      </c>
      <c r="T568" s="37"/>
      <c r="V568" s="6">
        <f t="shared" si="172"/>
        <v>0</v>
      </c>
    </row>
    <row r="569" spans="1:22" ht="30">
      <c r="A569" s="204">
        <v>55</v>
      </c>
      <c r="B569" s="205" t="s">
        <v>1082</v>
      </c>
      <c r="C569" s="206" t="s">
        <v>996</v>
      </c>
      <c r="D569" s="206" t="s">
        <v>31</v>
      </c>
      <c r="E569" s="207" t="s">
        <v>1013</v>
      </c>
      <c r="F569" s="208" t="s">
        <v>1083</v>
      </c>
      <c r="G569" s="209">
        <v>463.346</v>
      </c>
      <c r="H569" s="209"/>
      <c r="I569" s="209"/>
      <c r="J569" s="209"/>
      <c r="K569" s="209">
        <v>463.346</v>
      </c>
      <c r="L569" s="210"/>
      <c r="M569" s="210">
        <f t="shared" si="171"/>
        <v>406.96800000000002</v>
      </c>
      <c r="N569" s="211"/>
      <c r="O569" s="211"/>
      <c r="P569" s="211"/>
      <c r="Q569" s="211"/>
      <c r="R569" s="211"/>
      <c r="S569" s="210">
        <v>406.96800000000002</v>
      </c>
      <c r="T569" s="37"/>
      <c r="V569" s="6">
        <f t="shared" si="172"/>
        <v>0</v>
      </c>
    </row>
    <row r="570" spans="1:22" ht="30">
      <c r="A570" s="204">
        <v>56</v>
      </c>
      <c r="B570" s="205" t="s">
        <v>1084</v>
      </c>
      <c r="C570" s="206" t="s">
        <v>40</v>
      </c>
      <c r="D570" s="206" t="s">
        <v>31</v>
      </c>
      <c r="E570" s="207" t="s">
        <v>969</v>
      </c>
      <c r="F570" s="208" t="s">
        <v>1085</v>
      </c>
      <c r="G570" s="209">
        <v>260.56099999999998</v>
      </c>
      <c r="H570" s="209"/>
      <c r="I570" s="209"/>
      <c r="J570" s="209"/>
      <c r="K570" s="209">
        <v>260.56099999999998</v>
      </c>
      <c r="L570" s="210"/>
      <c r="M570" s="210">
        <f t="shared" si="171"/>
        <v>260</v>
      </c>
      <c r="N570" s="211"/>
      <c r="O570" s="211"/>
      <c r="P570" s="211"/>
      <c r="Q570" s="211"/>
      <c r="R570" s="211"/>
      <c r="S570" s="210">
        <v>260</v>
      </c>
      <c r="T570" s="37"/>
      <c r="V570" s="6">
        <f t="shared" si="172"/>
        <v>0</v>
      </c>
    </row>
    <row r="571" spans="1:22" ht="30">
      <c r="A571" s="204">
        <v>57</v>
      </c>
      <c r="B571" s="205" t="s">
        <v>1086</v>
      </c>
      <c r="C571" s="206" t="s">
        <v>996</v>
      </c>
      <c r="D571" s="206" t="s">
        <v>31</v>
      </c>
      <c r="E571" s="207" t="s">
        <v>969</v>
      </c>
      <c r="F571" s="208" t="s">
        <v>1087</v>
      </c>
      <c r="G571" s="209">
        <v>400</v>
      </c>
      <c r="H571" s="209"/>
      <c r="I571" s="209"/>
      <c r="J571" s="209"/>
      <c r="K571" s="209">
        <v>400</v>
      </c>
      <c r="L571" s="210"/>
      <c r="M571" s="210">
        <f t="shared" si="171"/>
        <v>380</v>
      </c>
      <c r="N571" s="211"/>
      <c r="O571" s="211"/>
      <c r="P571" s="211"/>
      <c r="Q571" s="211"/>
      <c r="R571" s="211"/>
      <c r="S571" s="210">
        <v>380</v>
      </c>
      <c r="T571" s="37"/>
      <c r="V571" s="6">
        <f t="shared" si="172"/>
        <v>0</v>
      </c>
    </row>
    <row r="572" spans="1:22" ht="45">
      <c r="A572" s="204">
        <v>58</v>
      </c>
      <c r="B572" s="205" t="s">
        <v>1088</v>
      </c>
      <c r="C572" s="206" t="s">
        <v>40</v>
      </c>
      <c r="D572" s="206" t="s">
        <v>31</v>
      </c>
      <c r="E572" s="207" t="s">
        <v>969</v>
      </c>
      <c r="F572" s="208" t="s">
        <v>1089</v>
      </c>
      <c r="G572" s="209">
        <v>300</v>
      </c>
      <c r="H572" s="209"/>
      <c r="I572" s="209"/>
      <c r="J572" s="209"/>
      <c r="K572" s="209">
        <v>300</v>
      </c>
      <c r="L572" s="210"/>
      <c r="M572" s="210">
        <f t="shared" si="171"/>
        <v>290</v>
      </c>
      <c r="N572" s="211"/>
      <c r="O572" s="211"/>
      <c r="P572" s="211"/>
      <c r="Q572" s="211"/>
      <c r="R572" s="211"/>
      <c r="S572" s="210">
        <v>290</v>
      </c>
      <c r="T572" s="37"/>
      <c r="V572" s="6">
        <f t="shared" si="172"/>
        <v>0</v>
      </c>
    </row>
    <row r="573" spans="1:22" ht="30">
      <c r="A573" s="204">
        <v>59</v>
      </c>
      <c r="B573" s="205" t="s">
        <v>1090</v>
      </c>
      <c r="C573" s="206" t="s">
        <v>993</v>
      </c>
      <c r="D573" s="206" t="s">
        <v>31</v>
      </c>
      <c r="E573" s="207" t="s">
        <v>1013</v>
      </c>
      <c r="F573" s="208" t="s">
        <v>1091</v>
      </c>
      <c r="G573" s="209">
        <v>217.80100000000002</v>
      </c>
      <c r="H573" s="209"/>
      <c r="I573" s="209"/>
      <c r="J573" s="209"/>
      <c r="K573" s="209">
        <v>217.80100000000002</v>
      </c>
      <c r="L573" s="210"/>
      <c r="M573" s="210">
        <f t="shared" si="171"/>
        <v>179.773</v>
      </c>
      <c r="N573" s="211"/>
      <c r="O573" s="211"/>
      <c r="P573" s="211"/>
      <c r="Q573" s="211"/>
      <c r="R573" s="211"/>
      <c r="S573" s="210">
        <v>179.773</v>
      </c>
      <c r="T573" s="37"/>
      <c r="V573" s="6">
        <f t="shared" si="172"/>
        <v>0</v>
      </c>
    </row>
    <row r="574" spans="1:22" ht="30">
      <c r="A574" s="204">
        <v>60</v>
      </c>
      <c r="B574" s="205" t="s">
        <v>1092</v>
      </c>
      <c r="C574" s="206" t="s">
        <v>968</v>
      </c>
      <c r="D574" s="206" t="s">
        <v>31</v>
      </c>
      <c r="E574" s="207" t="s">
        <v>1013</v>
      </c>
      <c r="F574" s="208" t="s">
        <v>1093</v>
      </c>
      <c r="G574" s="209">
        <v>285.60000000000002</v>
      </c>
      <c r="H574" s="209"/>
      <c r="I574" s="209"/>
      <c r="J574" s="209"/>
      <c r="K574" s="209">
        <v>285.60000000000002</v>
      </c>
      <c r="L574" s="210"/>
      <c r="M574" s="210">
        <f t="shared" si="171"/>
        <v>195</v>
      </c>
      <c r="N574" s="211"/>
      <c r="O574" s="211"/>
      <c r="P574" s="211"/>
      <c r="Q574" s="211"/>
      <c r="R574" s="211"/>
      <c r="S574" s="210">
        <v>195</v>
      </c>
      <c r="T574" s="37"/>
      <c r="V574" s="6">
        <f t="shared" si="172"/>
        <v>0</v>
      </c>
    </row>
    <row r="575" spans="1:22" ht="30">
      <c r="A575" s="204">
        <v>61</v>
      </c>
      <c r="B575" s="205" t="s">
        <v>1094</v>
      </c>
      <c r="C575" s="206" t="s">
        <v>977</v>
      </c>
      <c r="D575" s="206" t="s">
        <v>31</v>
      </c>
      <c r="E575" s="207" t="s">
        <v>969</v>
      </c>
      <c r="F575" s="208" t="s">
        <v>1095</v>
      </c>
      <c r="G575" s="209">
        <v>157.489</v>
      </c>
      <c r="H575" s="209"/>
      <c r="I575" s="209"/>
      <c r="J575" s="209"/>
      <c r="K575" s="209">
        <v>157.489</v>
      </c>
      <c r="L575" s="210"/>
      <c r="M575" s="210">
        <f t="shared" si="171"/>
        <v>120</v>
      </c>
      <c r="N575" s="211"/>
      <c r="O575" s="211"/>
      <c r="P575" s="211"/>
      <c r="Q575" s="211"/>
      <c r="R575" s="211"/>
      <c r="S575" s="210">
        <v>120</v>
      </c>
      <c r="T575" s="37"/>
      <c r="V575" s="6">
        <f t="shared" si="172"/>
        <v>0</v>
      </c>
    </row>
    <row r="576" spans="1:22" ht="30">
      <c r="A576" s="204">
        <v>62</v>
      </c>
      <c r="B576" s="205" t="s">
        <v>1096</v>
      </c>
      <c r="C576" s="206" t="s">
        <v>968</v>
      </c>
      <c r="D576" s="206" t="s">
        <v>31</v>
      </c>
      <c r="E576" s="207" t="s">
        <v>969</v>
      </c>
      <c r="F576" s="208" t="s">
        <v>1097</v>
      </c>
      <c r="G576" s="209">
        <v>149.22300000000001</v>
      </c>
      <c r="H576" s="209"/>
      <c r="I576" s="209"/>
      <c r="J576" s="209"/>
      <c r="K576" s="209">
        <v>149.22300000000001</v>
      </c>
      <c r="L576" s="210"/>
      <c r="M576" s="210">
        <f t="shared" si="171"/>
        <v>120</v>
      </c>
      <c r="N576" s="211"/>
      <c r="O576" s="211"/>
      <c r="P576" s="211"/>
      <c r="Q576" s="211"/>
      <c r="R576" s="211"/>
      <c r="S576" s="210">
        <v>120</v>
      </c>
      <c r="T576" s="37"/>
      <c r="V576" s="6">
        <f t="shared" si="172"/>
        <v>0</v>
      </c>
    </row>
    <row r="577" spans="1:22" ht="30">
      <c r="A577" s="204">
        <v>63</v>
      </c>
      <c r="B577" s="205" t="s">
        <v>1098</v>
      </c>
      <c r="C577" s="206" t="s">
        <v>977</v>
      </c>
      <c r="D577" s="206" t="s">
        <v>31</v>
      </c>
      <c r="E577" s="207" t="s">
        <v>969</v>
      </c>
      <c r="F577" s="208" t="s">
        <v>1099</v>
      </c>
      <c r="G577" s="209">
        <v>180.458</v>
      </c>
      <c r="H577" s="209"/>
      <c r="I577" s="209"/>
      <c r="J577" s="209"/>
      <c r="K577" s="209">
        <v>180.458</v>
      </c>
      <c r="L577" s="210"/>
      <c r="M577" s="210">
        <f t="shared" ref="M577:M640" si="173">SUM(N577:S577)</f>
        <v>120</v>
      </c>
      <c r="N577" s="211"/>
      <c r="O577" s="211"/>
      <c r="P577" s="211"/>
      <c r="Q577" s="211"/>
      <c r="R577" s="211"/>
      <c r="S577" s="210">
        <v>120</v>
      </c>
      <c r="T577" s="37"/>
      <c r="V577" s="6">
        <f t="shared" si="172"/>
        <v>0</v>
      </c>
    </row>
    <row r="578" spans="1:22" ht="30">
      <c r="A578" s="204">
        <v>64</v>
      </c>
      <c r="B578" s="205" t="s">
        <v>1100</v>
      </c>
      <c r="C578" s="206" t="s">
        <v>1101</v>
      </c>
      <c r="D578" s="206" t="s">
        <v>31</v>
      </c>
      <c r="E578" s="213" t="s">
        <v>1013</v>
      </c>
      <c r="F578" s="208" t="s">
        <v>1102</v>
      </c>
      <c r="G578" s="209">
        <v>154.11000000000001</v>
      </c>
      <c r="H578" s="209"/>
      <c r="I578" s="209"/>
      <c r="J578" s="209"/>
      <c r="K578" s="209">
        <v>154.11000000000001</v>
      </c>
      <c r="L578" s="210"/>
      <c r="M578" s="210">
        <f t="shared" si="173"/>
        <v>149.476</v>
      </c>
      <c r="N578" s="211"/>
      <c r="O578" s="211"/>
      <c r="P578" s="211"/>
      <c r="Q578" s="211"/>
      <c r="R578" s="211"/>
      <c r="S578" s="210">
        <v>149.476</v>
      </c>
      <c r="T578" s="37"/>
      <c r="V578" s="6">
        <f t="shared" si="172"/>
        <v>0</v>
      </c>
    </row>
    <row r="579" spans="1:22" ht="30">
      <c r="A579" s="204">
        <v>65</v>
      </c>
      <c r="B579" s="205" t="s">
        <v>1103</v>
      </c>
      <c r="C579" s="206" t="s">
        <v>1104</v>
      </c>
      <c r="D579" s="206" t="s">
        <v>31</v>
      </c>
      <c r="E579" s="214" t="s">
        <v>1013</v>
      </c>
      <c r="F579" s="208" t="s">
        <v>1105</v>
      </c>
      <c r="G579" s="209">
        <v>392.91500000000002</v>
      </c>
      <c r="H579" s="209"/>
      <c r="I579" s="209"/>
      <c r="J579" s="209"/>
      <c r="K579" s="209">
        <v>392.91500000000002</v>
      </c>
      <c r="L579" s="210"/>
      <c r="M579" s="210">
        <f t="shared" si="173"/>
        <v>360.09730000000002</v>
      </c>
      <c r="N579" s="211"/>
      <c r="O579" s="211"/>
      <c r="P579" s="211"/>
      <c r="Q579" s="211"/>
      <c r="R579" s="211"/>
      <c r="S579" s="210">
        <v>360.09730000000002</v>
      </c>
      <c r="T579" s="37"/>
      <c r="V579" s="6">
        <f t="shared" si="172"/>
        <v>0</v>
      </c>
    </row>
    <row r="580" spans="1:22" ht="30">
      <c r="A580" s="204">
        <v>66</v>
      </c>
      <c r="B580" s="205" t="s">
        <v>1106</v>
      </c>
      <c r="C580" s="206" t="s">
        <v>981</v>
      </c>
      <c r="D580" s="206" t="s">
        <v>31</v>
      </c>
      <c r="E580" s="207" t="s">
        <v>1013</v>
      </c>
      <c r="F580" s="208" t="s">
        <v>1107</v>
      </c>
      <c r="G580" s="209">
        <v>252.661</v>
      </c>
      <c r="H580" s="209"/>
      <c r="I580" s="209"/>
      <c r="J580" s="209"/>
      <c r="K580" s="209">
        <v>252.661</v>
      </c>
      <c r="L580" s="210"/>
      <c r="M580" s="210">
        <f t="shared" si="173"/>
        <v>241.99299999999999</v>
      </c>
      <c r="N580" s="211"/>
      <c r="O580" s="211"/>
      <c r="P580" s="211"/>
      <c r="Q580" s="211"/>
      <c r="R580" s="211"/>
      <c r="S580" s="210">
        <v>241.99299999999999</v>
      </c>
      <c r="T580" s="37"/>
      <c r="V580" s="6">
        <f t="shared" si="172"/>
        <v>0</v>
      </c>
    </row>
    <row r="581" spans="1:22" ht="30">
      <c r="A581" s="204">
        <v>67</v>
      </c>
      <c r="B581" s="205" t="s">
        <v>1108</v>
      </c>
      <c r="C581" s="206" t="s">
        <v>993</v>
      </c>
      <c r="D581" s="206" t="s">
        <v>31</v>
      </c>
      <c r="E581" s="207" t="s">
        <v>1013</v>
      </c>
      <c r="F581" s="208" t="s">
        <v>1109</v>
      </c>
      <c r="G581" s="209">
        <v>135.767</v>
      </c>
      <c r="H581" s="209"/>
      <c r="I581" s="209"/>
      <c r="J581" s="209"/>
      <c r="K581" s="209">
        <v>135.767</v>
      </c>
      <c r="L581" s="210"/>
      <c r="M581" s="210">
        <f t="shared" si="173"/>
        <v>130.07499999999999</v>
      </c>
      <c r="N581" s="211"/>
      <c r="O581" s="211"/>
      <c r="P581" s="211"/>
      <c r="Q581" s="211"/>
      <c r="R581" s="211"/>
      <c r="S581" s="210">
        <v>130.07499999999999</v>
      </c>
      <c r="T581" s="37"/>
      <c r="V581" s="6">
        <f t="shared" si="172"/>
        <v>0</v>
      </c>
    </row>
    <row r="582" spans="1:22" ht="30">
      <c r="A582" s="204">
        <v>68</v>
      </c>
      <c r="B582" s="205" t="s">
        <v>1110</v>
      </c>
      <c r="C582" s="206" t="s">
        <v>1010</v>
      </c>
      <c r="D582" s="206" t="s">
        <v>31</v>
      </c>
      <c r="E582" s="207" t="s">
        <v>1013</v>
      </c>
      <c r="F582" s="208" t="s">
        <v>1111</v>
      </c>
      <c r="G582" s="209">
        <v>174.892</v>
      </c>
      <c r="H582" s="209"/>
      <c r="I582" s="209"/>
      <c r="J582" s="209"/>
      <c r="K582" s="209">
        <v>174.892</v>
      </c>
      <c r="L582" s="210"/>
      <c r="M582" s="210">
        <f t="shared" si="173"/>
        <v>166.56100000000001</v>
      </c>
      <c r="N582" s="211"/>
      <c r="O582" s="211"/>
      <c r="P582" s="211"/>
      <c r="Q582" s="211"/>
      <c r="R582" s="211"/>
      <c r="S582" s="210">
        <v>166.56100000000001</v>
      </c>
      <c r="T582" s="37"/>
      <c r="V582" s="6">
        <f t="shared" si="172"/>
        <v>0</v>
      </c>
    </row>
    <row r="583" spans="1:22" ht="30">
      <c r="A583" s="204">
        <v>69</v>
      </c>
      <c r="B583" s="205" t="s">
        <v>1112</v>
      </c>
      <c r="C583" s="206" t="s">
        <v>40</v>
      </c>
      <c r="D583" s="206" t="s">
        <v>31</v>
      </c>
      <c r="E583" s="207" t="s">
        <v>983</v>
      </c>
      <c r="F583" s="208" t="s">
        <v>1113</v>
      </c>
      <c r="G583" s="209">
        <v>54.148000000000003</v>
      </c>
      <c r="H583" s="209"/>
      <c r="I583" s="209"/>
      <c r="J583" s="209"/>
      <c r="K583" s="209">
        <v>54.148000000000003</v>
      </c>
      <c r="L583" s="210"/>
      <c r="M583" s="210">
        <f t="shared" si="173"/>
        <v>43.875</v>
      </c>
      <c r="N583" s="211"/>
      <c r="O583" s="211"/>
      <c r="P583" s="211"/>
      <c r="Q583" s="211"/>
      <c r="R583" s="211"/>
      <c r="S583" s="210">
        <v>43.875</v>
      </c>
      <c r="T583" s="37"/>
      <c r="V583" s="6">
        <f t="shared" si="172"/>
        <v>0</v>
      </c>
    </row>
    <row r="584" spans="1:22" ht="30">
      <c r="A584" s="204">
        <v>70</v>
      </c>
      <c r="B584" s="205" t="s">
        <v>1114</v>
      </c>
      <c r="C584" s="206" t="s">
        <v>1008</v>
      </c>
      <c r="D584" s="206" t="s">
        <v>31</v>
      </c>
      <c r="E584" s="207" t="s">
        <v>1013</v>
      </c>
      <c r="F584" s="208" t="s">
        <v>1115</v>
      </c>
      <c r="G584" s="209">
        <v>155.24100000000001</v>
      </c>
      <c r="H584" s="209"/>
      <c r="I584" s="209"/>
      <c r="J584" s="209"/>
      <c r="K584" s="209">
        <v>155.24100000000001</v>
      </c>
      <c r="L584" s="210"/>
      <c r="M584" s="210">
        <f t="shared" si="173"/>
        <v>147.846</v>
      </c>
      <c r="N584" s="211"/>
      <c r="O584" s="211"/>
      <c r="P584" s="211"/>
      <c r="Q584" s="211"/>
      <c r="R584" s="211"/>
      <c r="S584" s="210">
        <v>147.846</v>
      </c>
      <c r="T584" s="37"/>
      <c r="V584" s="6">
        <f t="shared" si="172"/>
        <v>0</v>
      </c>
    </row>
    <row r="585" spans="1:22" ht="30">
      <c r="A585" s="204">
        <v>71</v>
      </c>
      <c r="B585" s="205" t="s">
        <v>1116</v>
      </c>
      <c r="C585" s="206" t="s">
        <v>977</v>
      </c>
      <c r="D585" s="206" t="s">
        <v>31</v>
      </c>
      <c r="E585" s="207" t="s">
        <v>983</v>
      </c>
      <c r="F585" s="208" t="s">
        <v>1117</v>
      </c>
      <c r="G585" s="209">
        <v>168.68</v>
      </c>
      <c r="H585" s="209"/>
      <c r="I585" s="209"/>
      <c r="J585" s="209"/>
      <c r="K585" s="209">
        <v>168.68</v>
      </c>
      <c r="L585" s="210"/>
      <c r="M585" s="210">
        <f t="shared" si="173"/>
        <v>129.52000000000001</v>
      </c>
      <c r="N585" s="211"/>
      <c r="O585" s="211"/>
      <c r="P585" s="211"/>
      <c r="Q585" s="211"/>
      <c r="R585" s="211"/>
      <c r="S585" s="210">
        <v>129.52000000000001</v>
      </c>
      <c r="T585" s="37"/>
      <c r="V585" s="6">
        <f t="shared" si="172"/>
        <v>0</v>
      </c>
    </row>
    <row r="586" spans="1:22" ht="45">
      <c r="A586" s="204">
        <v>72</v>
      </c>
      <c r="B586" s="205" t="s">
        <v>1118</v>
      </c>
      <c r="C586" s="206" t="s">
        <v>40</v>
      </c>
      <c r="D586" s="206" t="s">
        <v>31</v>
      </c>
      <c r="E586" s="207" t="s">
        <v>1013</v>
      </c>
      <c r="F586" s="208" t="s">
        <v>1119</v>
      </c>
      <c r="G586" s="209">
        <v>50.965000000000003</v>
      </c>
      <c r="H586" s="209"/>
      <c r="I586" s="209"/>
      <c r="J586" s="209"/>
      <c r="K586" s="209">
        <v>50.965000000000003</v>
      </c>
      <c r="L586" s="210"/>
      <c r="M586" s="210">
        <f t="shared" si="173"/>
        <v>25.507000000000001</v>
      </c>
      <c r="N586" s="211"/>
      <c r="O586" s="211"/>
      <c r="P586" s="211"/>
      <c r="Q586" s="211"/>
      <c r="R586" s="211"/>
      <c r="S586" s="210">
        <v>25.507000000000001</v>
      </c>
      <c r="T586" s="37"/>
      <c r="V586" s="6">
        <f t="shared" si="172"/>
        <v>0</v>
      </c>
    </row>
    <row r="587" spans="1:22" ht="30">
      <c r="A587" s="204">
        <v>73</v>
      </c>
      <c r="B587" s="205" t="s">
        <v>1120</v>
      </c>
      <c r="C587" s="206" t="s">
        <v>1072</v>
      </c>
      <c r="D587" s="206" t="s">
        <v>31</v>
      </c>
      <c r="E587" s="207" t="s">
        <v>1013</v>
      </c>
      <c r="F587" s="208" t="s">
        <v>1121</v>
      </c>
      <c r="G587" s="209">
        <v>173.12299999999999</v>
      </c>
      <c r="H587" s="209"/>
      <c r="I587" s="209"/>
      <c r="J587" s="209"/>
      <c r="K587" s="209">
        <v>173.12299999999999</v>
      </c>
      <c r="L587" s="210"/>
      <c r="M587" s="210">
        <f t="shared" si="173"/>
        <v>162.18899999999999</v>
      </c>
      <c r="N587" s="211"/>
      <c r="O587" s="211"/>
      <c r="P587" s="211"/>
      <c r="Q587" s="211"/>
      <c r="R587" s="211"/>
      <c r="S587" s="210">
        <v>162.18899999999999</v>
      </c>
      <c r="T587" s="37"/>
      <c r="V587" s="6">
        <f t="shared" si="172"/>
        <v>0</v>
      </c>
    </row>
    <row r="588" spans="1:22" ht="30">
      <c r="A588" s="204">
        <v>74</v>
      </c>
      <c r="B588" s="205" t="s">
        <v>1122</v>
      </c>
      <c r="C588" s="206" t="s">
        <v>981</v>
      </c>
      <c r="D588" s="206" t="s">
        <v>31</v>
      </c>
      <c r="E588" s="207" t="s">
        <v>969</v>
      </c>
      <c r="F588" s="208" t="s">
        <v>1123</v>
      </c>
      <c r="G588" s="209">
        <v>266.24700000000001</v>
      </c>
      <c r="H588" s="209"/>
      <c r="I588" s="209"/>
      <c r="J588" s="209"/>
      <c r="K588" s="209">
        <v>266.24700000000001</v>
      </c>
      <c r="L588" s="210"/>
      <c r="M588" s="210">
        <f t="shared" si="173"/>
        <v>200</v>
      </c>
      <c r="N588" s="211"/>
      <c r="O588" s="211"/>
      <c r="P588" s="211"/>
      <c r="Q588" s="211"/>
      <c r="R588" s="211"/>
      <c r="S588" s="210">
        <v>200</v>
      </c>
      <c r="T588" s="37"/>
      <c r="V588" s="6">
        <f t="shared" si="172"/>
        <v>0</v>
      </c>
    </row>
    <row r="589" spans="1:22" ht="30">
      <c r="A589" s="204">
        <v>75</v>
      </c>
      <c r="B589" s="205" t="s">
        <v>1124</v>
      </c>
      <c r="C589" s="206" t="s">
        <v>968</v>
      </c>
      <c r="D589" s="206" t="s">
        <v>31</v>
      </c>
      <c r="E589" s="207" t="s">
        <v>988</v>
      </c>
      <c r="F589" s="208" t="s">
        <v>1125</v>
      </c>
      <c r="G589" s="209">
        <v>155.02700000000002</v>
      </c>
      <c r="H589" s="209"/>
      <c r="I589" s="209"/>
      <c r="J589" s="209"/>
      <c r="K589" s="209">
        <v>155.02700000000002</v>
      </c>
      <c r="L589" s="210"/>
      <c r="M589" s="210">
        <f t="shared" si="173"/>
        <v>140</v>
      </c>
      <c r="N589" s="211"/>
      <c r="O589" s="211"/>
      <c r="P589" s="211"/>
      <c r="Q589" s="211"/>
      <c r="R589" s="211"/>
      <c r="S589" s="210">
        <v>140</v>
      </c>
      <c r="T589" s="37"/>
      <c r="V589" s="6">
        <f t="shared" si="172"/>
        <v>0</v>
      </c>
    </row>
    <row r="590" spans="1:22" ht="30">
      <c r="A590" s="204">
        <v>76</v>
      </c>
      <c r="B590" s="205" t="s">
        <v>1126</v>
      </c>
      <c r="C590" s="206" t="s">
        <v>1072</v>
      </c>
      <c r="D590" s="206" t="s">
        <v>31</v>
      </c>
      <c r="E590" s="207" t="s">
        <v>983</v>
      </c>
      <c r="F590" s="208" t="s">
        <v>1127</v>
      </c>
      <c r="G590" s="209">
        <v>91.332999999999998</v>
      </c>
      <c r="H590" s="209"/>
      <c r="I590" s="209"/>
      <c r="J590" s="209"/>
      <c r="K590" s="209">
        <v>91.332999999999998</v>
      </c>
      <c r="L590" s="210"/>
      <c r="M590" s="210">
        <f t="shared" si="173"/>
        <v>87</v>
      </c>
      <c r="N590" s="211"/>
      <c r="O590" s="211"/>
      <c r="P590" s="211"/>
      <c r="Q590" s="211"/>
      <c r="R590" s="211"/>
      <c r="S590" s="210">
        <v>87</v>
      </c>
      <c r="T590" s="37"/>
      <c r="V590" s="6">
        <f t="shared" si="172"/>
        <v>0</v>
      </c>
    </row>
    <row r="591" spans="1:22" ht="30">
      <c r="A591" s="204">
        <v>77</v>
      </c>
      <c r="B591" s="205" t="s">
        <v>1128</v>
      </c>
      <c r="C591" s="206" t="s">
        <v>40</v>
      </c>
      <c r="D591" s="206"/>
      <c r="E591" s="207"/>
      <c r="F591" s="208"/>
      <c r="G591" s="209">
        <v>1245.6000000000001</v>
      </c>
      <c r="H591" s="209"/>
      <c r="I591" s="209"/>
      <c r="J591" s="209"/>
      <c r="K591" s="209">
        <v>1245.6000000000001</v>
      </c>
      <c r="L591" s="210"/>
      <c r="M591" s="210">
        <f t="shared" si="173"/>
        <v>20</v>
      </c>
      <c r="N591" s="211"/>
      <c r="O591" s="211"/>
      <c r="P591" s="211"/>
      <c r="Q591" s="211"/>
      <c r="R591" s="211"/>
      <c r="S591" s="210">
        <v>20</v>
      </c>
      <c r="T591" s="37"/>
      <c r="V591" s="6">
        <f t="shared" si="172"/>
        <v>0</v>
      </c>
    </row>
    <row r="592" spans="1:22" ht="30">
      <c r="A592" s="204">
        <v>78</v>
      </c>
      <c r="B592" s="205" t="s">
        <v>1129</v>
      </c>
      <c r="C592" s="206" t="s">
        <v>40</v>
      </c>
      <c r="D592" s="206"/>
      <c r="E592" s="207"/>
      <c r="F592" s="208"/>
      <c r="G592" s="209">
        <v>965.66100000000006</v>
      </c>
      <c r="H592" s="209"/>
      <c r="I592" s="209"/>
      <c r="J592" s="209"/>
      <c r="K592" s="209">
        <v>965.66100000000006</v>
      </c>
      <c r="L592" s="210"/>
      <c r="M592" s="210">
        <f t="shared" si="173"/>
        <v>20</v>
      </c>
      <c r="N592" s="211"/>
      <c r="O592" s="211"/>
      <c r="P592" s="211"/>
      <c r="Q592" s="211"/>
      <c r="R592" s="211"/>
      <c r="S592" s="210">
        <v>20</v>
      </c>
      <c r="T592" s="37"/>
      <c r="V592" s="6">
        <f t="shared" si="172"/>
        <v>0</v>
      </c>
    </row>
    <row r="593" spans="1:22" ht="30">
      <c r="A593" s="204">
        <v>79</v>
      </c>
      <c r="B593" s="205" t="s">
        <v>1130</v>
      </c>
      <c r="C593" s="206" t="s">
        <v>40</v>
      </c>
      <c r="D593" s="206"/>
      <c r="E593" s="207"/>
      <c r="F593" s="208"/>
      <c r="G593" s="209">
        <v>2073.5660000000003</v>
      </c>
      <c r="H593" s="209"/>
      <c r="I593" s="209"/>
      <c r="J593" s="209"/>
      <c r="K593" s="209">
        <v>2073.5660000000003</v>
      </c>
      <c r="L593" s="210"/>
      <c r="M593" s="210">
        <f t="shared" si="173"/>
        <v>20</v>
      </c>
      <c r="N593" s="211"/>
      <c r="O593" s="211"/>
      <c r="P593" s="211"/>
      <c r="Q593" s="211"/>
      <c r="R593" s="211"/>
      <c r="S593" s="210">
        <v>20</v>
      </c>
      <c r="T593" s="37"/>
      <c r="V593" s="6">
        <f t="shared" si="172"/>
        <v>0</v>
      </c>
    </row>
    <row r="594" spans="1:22" ht="30">
      <c r="A594" s="204">
        <v>80</v>
      </c>
      <c r="B594" s="205" t="s">
        <v>1131</v>
      </c>
      <c r="C594" s="206" t="s">
        <v>40</v>
      </c>
      <c r="D594" s="206"/>
      <c r="E594" s="207"/>
      <c r="F594" s="208"/>
      <c r="G594" s="209">
        <v>1047.3389999999999</v>
      </c>
      <c r="H594" s="209"/>
      <c r="I594" s="209"/>
      <c r="J594" s="209"/>
      <c r="K594" s="209">
        <v>1047.3389999999999</v>
      </c>
      <c r="L594" s="210"/>
      <c r="M594" s="210">
        <f t="shared" si="173"/>
        <v>20</v>
      </c>
      <c r="N594" s="211"/>
      <c r="O594" s="211"/>
      <c r="P594" s="211"/>
      <c r="Q594" s="211"/>
      <c r="R594" s="211"/>
      <c r="S594" s="210">
        <v>20</v>
      </c>
      <c r="T594" s="37"/>
      <c r="V594" s="6">
        <f t="shared" si="172"/>
        <v>0</v>
      </c>
    </row>
    <row r="595" spans="1:22">
      <c r="A595" s="529" t="s">
        <v>69</v>
      </c>
      <c r="B595" s="530" t="s">
        <v>871</v>
      </c>
      <c r="C595" s="531"/>
      <c r="D595" s="531"/>
      <c r="E595" s="531"/>
      <c r="F595" s="531"/>
      <c r="G595" s="532">
        <f t="shared" ref="G595" si="174">(G596+G607)</f>
        <v>1254691.4070000001</v>
      </c>
      <c r="H595" s="532"/>
      <c r="I595" s="532"/>
      <c r="J595" s="532"/>
      <c r="K595" s="532">
        <f>(K596+K607)</f>
        <v>1254691.4070000001</v>
      </c>
      <c r="L595" s="532">
        <f>(L596+L607)</f>
        <v>59743.040999999997</v>
      </c>
      <c r="M595" s="532">
        <f t="shared" si="173"/>
        <v>859810.14800000004</v>
      </c>
      <c r="N595" s="211"/>
      <c r="O595" s="211"/>
      <c r="P595" s="211"/>
      <c r="Q595" s="211"/>
      <c r="R595" s="211"/>
      <c r="S595" s="532">
        <f t="shared" ref="S595" si="175">(S596+S607)</f>
        <v>859810.14800000004</v>
      </c>
      <c r="T595" s="37"/>
      <c r="V595" s="6">
        <f t="shared" si="172"/>
        <v>0</v>
      </c>
    </row>
    <row r="596" spans="1:22">
      <c r="A596" s="204" t="s">
        <v>82</v>
      </c>
      <c r="B596" s="215" t="s">
        <v>83</v>
      </c>
      <c r="C596" s="216"/>
      <c r="D596" s="217"/>
      <c r="E596" s="218"/>
      <c r="F596" s="219"/>
      <c r="G596" s="220">
        <f>SUM(G597:G606)</f>
        <v>315777.29099999997</v>
      </c>
      <c r="H596" s="220"/>
      <c r="I596" s="220"/>
      <c r="J596" s="220"/>
      <c r="K596" s="220">
        <f>(SUM(K597:K606))</f>
        <v>315777.29099999997</v>
      </c>
      <c r="L596" s="220">
        <f>SUM(L597:L606)</f>
        <v>59543.040999999997</v>
      </c>
      <c r="M596" s="220">
        <f t="shared" si="173"/>
        <v>204879.11900000001</v>
      </c>
      <c r="N596" s="211"/>
      <c r="O596" s="211"/>
      <c r="P596" s="211"/>
      <c r="Q596" s="211"/>
      <c r="R596" s="211"/>
      <c r="S596" s="220">
        <f>SUM(S597:S606)</f>
        <v>204879.11900000001</v>
      </c>
      <c r="T596" s="37"/>
      <c r="V596" s="6">
        <f t="shared" ref="V596:V659" si="176">G596-H596-I596-J596-K596</f>
        <v>0</v>
      </c>
    </row>
    <row r="597" spans="1:22" ht="30">
      <c r="A597" s="204">
        <v>1</v>
      </c>
      <c r="B597" s="205" t="s">
        <v>1132</v>
      </c>
      <c r="C597" s="206" t="s">
        <v>977</v>
      </c>
      <c r="D597" s="206" t="s">
        <v>26</v>
      </c>
      <c r="E597" s="207" t="s">
        <v>1133</v>
      </c>
      <c r="F597" s="208" t="s">
        <v>1134</v>
      </c>
      <c r="G597" s="209">
        <v>56792.031000000003</v>
      </c>
      <c r="H597" s="209"/>
      <c r="I597" s="209"/>
      <c r="J597" s="209"/>
      <c r="K597" s="209">
        <v>56792.031000000003</v>
      </c>
      <c r="L597" s="221">
        <v>1347.095</v>
      </c>
      <c r="M597" s="212">
        <f t="shared" si="173"/>
        <v>48616.705999999998</v>
      </c>
      <c r="N597" s="211"/>
      <c r="O597" s="211"/>
      <c r="P597" s="211"/>
      <c r="Q597" s="211"/>
      <c r="R597" s="211"/>
      <c r="S597" s="212">
        <v>48616.705999999998</v>
      </c>
      <c r="T597" s="37"/>
      <c r="V597" s="6">
        <f t="shared" si="176"/>
        <v>0</v>
      </c>
    </row>
    <row r="598" spans="1:22" ht="30">
      <c r="A598" s="204">
        <v>2</v>
      </c>
      <c r="B598" s="205" t="s">
        <v>1135</v>
      </c>
      <c r="C598" s="206" t="s">
        <v>1072</v>
      </c>
      <c r="D598" s="206" t="s">
        <v>26</v>
      </c>
      <c r="E598" s="207" t="s">
        <v>1136</v>
      </c>
      <c r="F598" s="222" t="s">
        <v>1137</v>
      </c>
      <c r="G598" s="209">
        <v>53816.053</v>
      </c>
      <c r="H598" s="209"/>
      <c r="I598" s="209"/>
      <c r="J598" s="209"/>
      <c r="K598" s="209">
        <v>53816.053</v>
      </c>
      <c r="L598" s="221">
        <v>1058.337</v>
      </c>
      <c r="M598" s="212">
        <f t="shared" si="173"/>
        <v>47549.078999999998</v>
      </c>
      <c r="N598" s="211"/>
      <c r="O598" s="211"/>
      <c r="P598" s="211"/>
      <c r="Q598" s="211"/>
      <c r="R598" s="211"/>
      <c r="S598" s="212">
        <v>47549.078999999998</v>
      </c>
      <c r="T598" s="37"/>
      <c r="V598" s="6">
        <f t="shared" si="176"/>
        <v>0</v>
      </c>
    </row>
    <row r="599" spans="1:22" ht="30">
      <c r="A599" s="204">
        <v>3</v>
      </c>
      <c r="B599" s="205" t="s">
        <v>1138</v>
      </c>
      <c r="C599" s="206" t="s">
        <v>974</v>
      </c>
      <c r="D599" s="206" t="s">
        <v>31</v>
      </c>
      <c r="E599" s="207" t="s">
        <v>1000</v>
      </c>
      <c r="F599" s="208" t="s">
        <v>1139</v>
      </c>
      <c r="G599" s="209">
        <v>23158.65</v>
      </c>
      <c r="H599" s="209"/>
      <c r="I599" s="209"/>
      <c r="J599" s="209"/>
      <c r="K599" s="209">
        <v>23158.65</v>
      </c>
      <c r="L599" s="221">
        <v>200.55199999999999</v>
      </c>
      <c r="M599" s="212">
        <f t="shared" si="173"/>
        <v>18682.344000000001</v>
      </c>
      <c r="N599" s="211"/>
      <c r="O599" s="211"/>
      <c r="P599" s="211"/>
      <c r="Q599" s="211"/>
      <c r="R599" s="211"/>
      <c r="S599" s="212">
        <v>18682.344000000001</v>
      </c>
      <c r="T599" s="37"/>
      <c r="V599" s="6">
        <f t="shared" si="176"/>
        <v>0</v>
      </c>
    </row>
    <row r="600" spans="1:22" ht="30">
      <c r="A600" s="204">
        <v>4</v>
      </c>
      <c r="B600" s="205" t="s">
        <v>1140</v>
      </c>
      <c r="C600" s="206" t="s">
        <v>996</v>
      </c>
      <c r="D600" s="206" t="s">
        <v>31</v>
      </c>
      <c r="E600" s="207" t="s">
        <v>978</v>
      </c>
      <c r="F600" s="208" t="s">
        <v>1141</v>
      </c>
      <c r="G600" s="223">
        <v>37363.544999999998</v>
      </c>
      <c r="H600" s="223"/>
      <c r="I600" s="223"/>
      <c r="J600" s="223"/>
      <c r="K600" s="209">
        <v>37363.544999999998</v>
      </c>
      <c r="L600" s="212">
        <v>85.215000000000003</v>
      </c>
      <c r="M600" s="212">
        <f t="shared" si="173"/>
        <v>20542.132000000001</v>
      </c>
      <c r="N600" s="211"/>
      <c r="O600" s="211"/>
      <c r="P600" s="211"/>
      <c r="Q600" s="211"/>
      <c r="R600" s="211"/>
      <c r="S600" s="212">
        <v>20542.132000000001</v>
      </c>
      <c r="T600" s="37"/>
      <c r="V600" s="6">
        <f t="shared" si="176"/>
        <v>0</v>
      </c>
    </row>
    <row r="601" spans="1:22" ht="45">
      <c r="A601" s="204">
        <v>5</v>
      </c>
      <c r="B601" s="205" t="s">
        <v>1142</v>
      </c>
      <c r="C601" s="206" t="s">
        <v>981</v>
      </c>
      <c r="D601" s="206" t="s">
        <v>26</v>
      </c>
      <c r="E601" s="207" t="s">
        <v>1143</v>
      </c>
      <c r="F601" s="208" t="s">
        <v>1144</v>
      </c>
      <c r="G601" s="209">
        <v>122410.372</v>
      </c>
      <c r="H601" s="209"/>
      <c r="I601" s="209"/>
      <c r="J601" s="209"/>
      <c r="K601" s="209">
        <v>122410.372</v>
      </c>
      <c r="L601" s="212">
        <v>38436.540999999997</v>
      </c>
      <c r="M601" s="212">
        <f t="shared" si="173"/>
        <v>68801.505000000005</v>
      </c>
      <c r="N601" s="211"/>
      <c r="O601" s="211"/>
      <c r="P601" s="211"/>
      <c r="Q601" s="211"/>
      <c r="R601" s="211"/>
      <c r="S601" s="212">
        <v>68801.505000000005</v>
      </c>
      <c r="T601" s="37"/>
      <c r="V601" s="6">
        <f t="shared" si="176"/>
        <v>0</v>
      </c>
    </row>
    <row r="602" spans="1:22" ht="30">
      <c r="A602" s="204">
        <v>6</v>
      </c>
      <c r="B602" s="205" t="s">
        <v>1145</v>
      </c>
      <c r="C602" s="206" t="s">
        <v>968</v>
      </c>
      <c r="D602" s="206" t="s">
        <v>31</v>
      </c>
      <c r="E602" s="207" t="s">
        <v>1146</v>
      </c>
      <c r="F602" s="208" t="s">
        <v>1147</v>
      </c>
      <c r="G602" s="209">
        <v>4844.4160000000002</v>
      </c>
      <c r="H602" s="209"/>
      <c r="I602" s="209"/>
      <c r="J602" s="209"/>
      <c r="K602" s="212">
        <v>4844.4160000000002</v>
      </c>
      <c r="L602" s="221">
        <v>4085.3070000000002</v>
      </c>
      <c r="M602" s="212">
        <f t="shared" si="173"/>
        <v>61.213000000000001</v>
      </c>
      <c r="N602" s="211"/>
      <c r="O602" s="211"/>
      <c r="P602" s="211"/>
      <c r="Q602" s="211"/>
      <c r="R602" s="211"/>
      <c r="S602" s="212">
        <v>61.213000000000001</v>
      </c>
      <c r="T602" s="37"/>
      <c r="V602" s="6">
        <f t="shared" si="176"/>
        <v>0</v>
      </c>
    </row>
    <row r="603" spans="1:22" ht="30">
      <c r="A603" s="204">
        <v>7</v>
      </c>
      <c r="B603" s="205" t="s">
        <v>1148</v>
      </c>
      <c r="C603" s="206" t="s">
        <v>974</v>
      </c>
      <c r="D603" s="206" t="s">
        <v>31</v>
      </c>
      <c r="E603" s="207" t="s">
        <v>1146</v>
      </c>
      <c r="F603" s="208" t="s">
        <v>1149</v>
      </c>
      <c r="G603" s="209">
        <v>4984.7889999999998</v>
      </c>
      <c r="H603" s="209"/>
      <c r="I603" s="209"/>
      <c r="J603" s="209"/>
      <c r="K603" s="212">
        <v>4984.7889999999998</v>
      </c>
      <c r="L603" s="221">
        <v>4464.9070000000002</v>
      </c>
      <c r="M603" s="212">
        <f t="shared" si="173"/>
        <v>225.29</v>
      </c>
      <c r="N603" s="211"/>
      <c r="O603" s="211"/>
      <c r="P603" s="211"/>
      <c r="Q603" s="211"/>
      <c r="R603" s="211"/>
      <c r="S603" s="212">
        <v>225.29</v>
      </c>
      <c r="T603" s="37"/>
      <c r="V603" s="6">
        <f t="shared" si="176"/>
        <v>0</v>
      </c>
    </row>
    <row r="604" spans="1:22" ht="30">
      <c r="A604" s="204">
        <v>8</v>
      </c>
      <c r="B604" s="205" t="s">
        <v>1150</v>
      </c>
      <c r="C604" s="206" t="s">
        <v>1151</v>
      </c>
      <c r="D604" s="206" t="s">
        <v>31</v>
      </c>
      <c r="E604" s="207" t="s">
        <v>1146</v>
      </c>
      <c r="F604" s="208" t="s">
        <v>1152</v>
      </c>
      <c r="G604" s="209">
        <v>4784.5519999999997</v>
      </c>
      <c r="H604" s="209"/>
      <c r="I604" s="209"/>
      <c r="J604" s="209"/>
      <c r="K604" s="212">
        <v>4784.5519999999997</v>
      </c>
      <c r="L604" s="221">
        <v>3548.8809999999999</v>
      </c>
      <c r="M604" s="212">
        <f t="shared" si="173"/>
        <v>125.08200000000001</v>
      </c>
      <c r="N604" s="211"/>
      <c r="O604" s="211"/>
      <c r="P604" s="211"/>
      <c r="Q604" s="211"/>
      <c r="R604" s="211"/>
      <c r="S604" s="212">
        <v>125.08200000000001</v>
      </c>
      <c r="T604" s="37"/>
      <c r="V604" s="6">
        <f t="shared" si="176"/>
        <v>0</v>
      </c>
    </row>
    <row r="605" spans="1:22" ht="30">
      <c r="A605" s="204">
        <v>9</v>
      </c>
      <c r="B605" s="205" t="s">
        <v>1153</v>
      </c>
      <c r="C605" s="206" t="s">
        <v>1154</v>
      </c>
      <c r="D605" s="206" t="s">
        <v>31</v>
      </c>
      <c r="E605" s="207" t="s">
        <v>1146</v>
      </c>
      <c r="F605" s="208" t="s">
        <v>1155</v>
      </c>
      <c r="G605" s="209">
        <v>4573.3559999999998</v>
      </c>
      <c r="H605" s="209"/>
      <c r="I605" s="209"/>
      <c r="J605" s="209"/>
      <c r="K605" s="212">
        <v>4573.3559999999998</v>
      </c>
      <c r="L605" s="221">
        <v>3654.3070000000002</v>
      </c>
      <c r="M605" s="212">
        <f t="shared" si="173"/>
        <v>163.483</v>
      </c>
      <c r="N605" s="211"/>
      <c r="O605" s="211"/>
      <c r="P605" s="211"/>
      <c r="Q605" s="211"/>
      <c r="R605" s="211"/>
      <c r="S605" s="212">
        <v>163.483</v>
      </c>
      <c r="T605" s="37"/>
      <c r="V605" s="6">
        <f t="shared" si="176"/>
        <v>0</v>
      </c>
    </row>
    <row r="606" spans="1:22" ht="30">
      <c r="A606" s="204">
        <v>10</v>
      </c>
      <c r="B606" s="205" t="s">
        <v>1156</v>
      </c>
      <c r="C606" s="206" t="s">
        <v>968</v>
      </c>
      <c r="D606" s="206" t="s">
        <v>31</v>
      </c>
      <c r="E606" s="207" t="s">
        <v>1146</v>
      </c>
      <c r="F606" s="208" t="s">
        <v>1157</v>
      </c>
      <c r="G606" s="209">
        <v>3049.527</v>
      </c>
      <c r="H606" s="209"/>
      <c r="I606" s="209"/>
      <c r="J606" s="209"/>
      <c r="K606" s="212">
        <v>3049.527</v>
      </c>
      <c r="L606" s="221">
        <v>2661.8989999999999</v>
      </c>
      <c r="M606" s="212">
        <f t="shared" si="173"/>
        <v>112.285</v>
      </c>
      <c r="N606" s="211"/>
      <c r="O606" s="211"/>
      <c r="P606" s="211"/>
      <c r="Q606" s="211"/>
      <c r="R606" s="211"/>
      <c r="S606" s="212">
        <v>112.285</v>
      </c>
      <c r="T606" s="37"/>
      <c r="V606" s="6">
        <f t="shared" si="176"/>
        <v>0</v>
      </c>
    </row>
    <row r="607" spans="1:22" ht="30">
      <c r="A607" s="204" t="s">
        <v>102</v>
      </c>
      <c r="B607" s="215" t="s">
        <v>1158</v>
      </c>
      <c r="C607" s="216"/>
      <c r="D607" s="217"/>
      <c r="E607" s="218"/>
      <c r="F607" s="219"/>
      <c r="G607" s="220">
        <f>SUM(G608:G683)</f>
        <v>938914.11600000015</v>
      </c>
      <c r="H607" s="220"/>
      <c r="I607" s="220"/>
      <c r="J607" s="220"/>
      <c r="K607" s="220">
        <f>SUM(K608:K683)</f>
        <v>938914.11600000015</v>
      </c>
      <c r="L607" s="220">
        <f>SUM(L608:L683)</f>
        <v>200</v>
      </c>
      <c r="M607" s="220">
        <f t="shared" si="173"/>
        <v>654931.02899999998</v>
      </c>
      <c r="N607" s="211"/>
      <c r="O607" s="211"/>
      <c r="P607" s="211"/>
      <c r="Q607" s="211"/>
      <c r="R607" s="211"/>
      <c r="S607" s="220">
        <f>SUM(S608:S683)</f>
        <v>654931.02899999998</v>
      </c>
      <c r="T607" s="37"/>
      <c r="V607" s="6">
        <f t="shared" si="176"/>
        <v>0</v>
      </c>
    </row>
    <row r="608" spans="1:22">
      <c r="A608" s="204">
        <v>1</v>
      </c>
      <c r="B608" s="205" t="s">
        <v>992</v>
      </c>
      <c r="C608" s="206" t="s">
        <v>993</v>
      </c>
      <c r="D608" s="206" t="s">
        <v>31</v>
      </c>
      <c r="E608" s="207" t="s">
        <v>978</v>
      </c>
      <c r="F608" s="208" t="s">
        <v>1159</v>
      </c>
      <c r="G608" s="209">
        <v>18828.789000000001</v>
      </c>
      <c r="H608" s="209"/>
      <c r="I608" s="209"/>
      <c r="J608" s="209"/>
      <c r="K608" s="209">
        <v>18828.789000000001</v>
      </c>
      <c r="L608" s="221">
        <v>0</v>
      </c>
      <c r="M608" s="212">
        <f t="shared" si="173"/>
        <v>17267.710999999999</v>
      </c>
      <c r="N608" s="211"/>
      <c r="O608" s="211"/>
      <c r="P608" s="211"/>
      <c r="Q608" s="211"/>
      <c r="R608" s="211"/>
      <c r="S608" s="212">
        <v>17267.710999999999</v>
      </c>
      <c r="T608" s="37"/>
      <c r="V608" s="6">
        <f t="shared" si="176"/>
        <v>0</v>
      </c>
    </row>
    <row r="609" spans="1:22" ht="30">
      <c r="A609" s="204">
        <v>2</v>
      </c>
      <c r="B609" s="205" t="s">
        <v>995</v>
      </c>
      <c r="C609" s="206" t="s">
        <v>996</v>
      </c>
      <c r="D609" s="206" t="s">
        <v>31</v>
      </c>
      <c r="E609" s="207" t="s">
        <v>997</v>
      </c>
      <c r="F609" s="208" t="s">
        <v>1160</v>
      </c>
      <c r="G609" s="223">
        <v>53537.035000000003</v>
      </c>
      <c r="H609" s="223"/>
      <c r="I609" s="223"/>
      <c r="J609" s="223"/>
      <c r="K609" s="209">
        <v>53537.035000000003</v>
      </c>
      <c r="L609" s="221">
        <v>0</v>
      </c>
      <c r="M609" s="212">
        <f t="shared" si="173"/>
        <v>48467.874000000003</v>
      </c>
      <c r="N609" s="211"/>
      <c r="O609" s="211"/>
      <c r="P609" s="211"/>
      <c r="Q609" s="211"/>
      <c r="R609" s="211"/>
      <c r="S609" s="212">
        <v>48467.874000000003</v>
      </c>
      <c r="T609" s="37"/>
      <c r="V609" s="6">
        <f t="shared" si="176"/>
        <v>0</v>
      </c>
    </row>
    <row r="610" spans="1:22" ht="30">
      <c r="A610" s="204">
        <v>3</v>
      </c>
      <c r="B610" s="205" t="s">
        <v>990</v>
      </c>
      <c r="C610" s="206" t="s">
        <v>968</v>
      </c>
      <c r="D610" s="206" t="s">
        <v>26</v>
      </c>
      <c r="E610" s="207" t="s">
        <v>975</v>
      </c>
      <c r="F610" s="208" t="s">
        <v>1161</v>
      </c>
      <c r="G610" s="209">
        <v>67408.346999999994</v>
      </c>
      <c r="H610" s="209"/>
      <c r="I610" s="209"/>
      <c r="J610" s="209"/>
      <c r="K610" s="209">
        <v>67408.346999999994</v>
      </c>
      <c r="L610" s="221">
        <v>0</v>
      </c>
      <c r="M610" s="212">
        <f t="shared" si="173"/>
        <v>59021.027999999998</v>
      </c>
      <c r="N610" s="211"/>
      <c r="O610" s="211"/>
      <c r="P610" s="211"/>
      <c r="Q610" s="211"/>
      <c r="R610" s="211"/>
      <c r="S610" s="212">
        <v>59021.027999999998</v>
      </c>
      <c r="T610" s="37"/>
      <c r="V610" s="6">
        <f t="shared" si="176"/>
        <v>0</v>
      </c>
    </row>
    <row r="611" spans="1:22" ht="30">
      <c r="A611" s="204">
        <v>4</v>
      </c>
      <c r="B611" s="205" t="s">
        <v>999</v>
      </c>
      <c r="C611" s="206" t="s">
        <v>974</v>
      </c>
      <c r="D611" s="206" t="s">
        <v>31</v>
      </c>
      <c r="E611" s="207" t="s">
        <v>1000</v>
      </c>
      <c r="F611" s="208" t="s">
        <v>1162</v>
      </c>
      <c r="G611" s="209">
        <v>79995.254000000001</v>
      </c>
      <c r="H611" s="209"/>
      <c r="I611" s="209"/>
      <c r="J611" s="209"/>
      <c r="K611" s="209">
        <v>79995.254000000001</v>
      </c>
      <c r="L611" s="221">
        <v>0</v>
      </c>
      <c r="M611" s="212">
        <f t="shared" si="173"/>
        <v>96.231000000000009</v>
      </c>
      <c r="N611" s="211"/>
      <c r="O611" s="211"/>
      <c r="P611" s="211"/>
      <c r="Q611" s="211"/>
      <c r="R611" s="211"/>
      <c r="S611" s="212">
        <v>96.231000000000009</v>
      </c>
      <c r="T611" s="37"/>
      <c r="V611" s="6">
        <f t="shared" si="176"/>
        <v>0</v>
      </c>
    </row>
    <row r="612" spans="1:22" ht="30">
      <c r="A612" s="204">
        <v>5</v>
      </c>
      <c r="B612" s="205" t="s">
        <v>973</v>
      </c>
      <c r="C612" s="206" t="s">
        <v>974</v>
      </c>
      <c r="D612" s="206" t="s">
        <v>31</v>
      </c>
      <c r="E612" s="207" t="s">
        <v>975</v>
      </c>
      <c r="F612" s="208" t="s">
        <v>1163</v>
      </c>
      <c r="G612" s="223">
        <v>49442.844000000005</v>
      </c>
      <c r="H612" s="223"/>
      <c r="I612" s="223"/>
      <c r="J612" s="223"/>
      <c r="K612" s="209">
        <v>49442.844000000005</v>
      </c>
      <c r="L612" s="221">
        <v>0</v>
      </c>
      <c r="M612" s="212">
        <f t="shared" si="173"/>
        <v>41193.330999999998</v>
      </c>
      <c r="N612" s="211"/>
      <c r="O612" s="211"/>
      <c r="P612" s="211"/>
      <c r="Q612" s="211"/>
      <c r="R612" s="211"/>
      <c r="S612" s="212">
        <v>41193.330999999998</v>
      </c>
      <c r="T612" s="37"/>
      <c r="V612" s="6">
        <f t="shared" si="176"/>
        <v>0</v>
      </c>
    </row>
    <row r="613" spans="1:22" ht="45">
      <c r="A613" s="204">
        <v>6</v>
      </c>
      <c r="B613" s="205" t="s">
        <v>980</v>
      </c>
      <c r="C613" s="206" t="s">
        <v>981</v>
      </c>
      <c r="D613" s="206" t="s">
        <v>31</v>
      </c>
      <c r="E613" s="207" t="s">
        <v>978</v>
      </c>
      <c r="F613" s="208" t="s">
        <v>1164</v>
      </c>
      <c r="G613" s="223">
        <v>27160.309000000001</v>
      </c>
      <c r="H613" s="223"/>
      <c r="I613" s="223"/>
      <c r="J613" s="223"/>
      <c r="K613" s="209">
        <v>27160.309000000001</v>
      </c>
      <c r="L613" s="221">
        <v>0</v>
      </c>
      <c r="M613" s="212">
        <f t="shared" si="173"/>
        <v>23995</v>
      </c>
      <c r="N613" s="211"/>
      <c r="O613" s="211"/>
      <c r="P613" s="211"/>
      <c r="Q613" s="211"/>
      <c r="R613" s="211"/>
      <c r="S613" s="212">
        <v>23995</v>
      </c>
      <c r="T613" s="37"/>
      <c r="V613" s="6">
        <f t="shared" si="176"/>
        <v>0</v>
      </c>
    </row>
    <row r="614" spans="1:22" ht="30">
      <c r="A614" s="204">
        <v>7</v>
      </c>
      <c r="B614" s="205" t="s">
        <v>976</v>
      </c>
      <c r="C614" s="206" t="s">
        <v>977</v>
      </c>
      <c r="D614" s="206" t="s">
        <v>31</v>
      </c>
      <c r="E614" s="207" t="s">
        <v>978</v>
      </c>
      <c r="F614" s="208" t="s">
        <v>1165</v>
      </c>
      <c r="G614" s="223">
        <v>49427.152000000002</v>
      </c>
      <c r="H614" s="223"/>
      <c r="I614" s="223"/>
      <c r="J614" s="223"/>
      <c r="K614" s="209">
        <v>49427.152000000002</v>
      </c>
      <c r="L614" s="221">
        <v>0</v>
      </c>
      <c r="M614" s="212">
        <f t="shared" si="173"/>
        <v>47600</v>
      </c>
      <c r="N614" s="211"/>
      <c r="O614" s="211"/>
      <c r="P614" s="211"/>
      <c r="Q614" s="211"/>
      <c r="R614" s="211"/>
      <c r="S614" s="212">
        <v>47600</v>
      </c>
      <c r="T614" s="37"/>
      <c r="V614" s="6">
        <f t="shared" si="176"/>
        <v>0</v>
      </c>
    </row>
    <row r="615" spans="1:22" ht="30">
      <c r="A615" s="204">
        <v>8</v>
      </c>
      <c r="B615" s="205" t="s">
        <v>1166</v>
      </c>
      <c r="C615" s="206" t="s">
        <v>974</v>
      </c>
      <c r="D615" s="206" t="s">
        <v>31</v>
      </c>
      <c r="E615" s="207" t="s">
        <v>978</v>
      </c>
      <c r="F615" s="208" t="s">
        <v>1167</v>
      </c>
      <c r="G615" s="223">
        <v>17803.91</v>
      </c>
      <c r="H615" s="223"/>
      <c r="I615" s="223"/>
      <c r="J615" s="223"/>
      <c r="K615" s="209">
        <v>17803.91</v>
      </c>
      <c r="L615" s="221">
        <v>0</v>
      </c>
      <c r="M615" s="212">
        <f t="shared" si="173"/>
        <v>15532.476000000001</v>
      </c>
      <c r="N615" s="211"/>
      <c r="O615" s="211"/>
      <c r="P615" s="211"/>
      <c r="Q615" s="211"/>
      <c r="R615" s="211"/>
      <c r="S615" s="212">
        <v>15532.476000000001</v>
      </c>
      <c r="T615" s="37"/>
      <c r="V615" s="6">
        <f t="shared" si="176"/>
        <v>0</v>
      </c>
    </row>
    <row r="616" spans="1:22" ht="30">
      <c r="A616" s="204">
        <v>9</v>
      </c>
      <c r="B616" s="205" t="s">
        <v>985</v>
      </c>
      <c r="C616" s="206" t="s">
        <v>972</v>
      </c>
      <c r="D616" s="206" t="s">
        <v>31</v>
      </c>
      <c r="E616" s="207" t="s">
        <v>1013</v>
      </c>
      <c r="F616" s="208" t="s">
        <v>1168</v>
      </c>
      <c r="G616" s="223">
        <v>48564.650999999998</v>
      </c>
      <c r="H616" s="223"/>
      <c r="I616" s="223"/>
      <c r="J616" s="223"/>
      <c r="K616" s="209">
        <v>48564.650999999998</v>
      </c>
      <c r="L616" s="221">
        <v>0</v>
      </c>
      <c r="M616" s="212">
        <f t="shared" si="173"/>
        <v>43269.336000000003</v>
      </c>
      <c r="N616" s="211"/>
      <c r="O616" s="211"/>
      <c r="P616" s="211"/>
      <c r="Q616" s="211"/>
      <c r="R616" s="211"/>
      <c r="S616" s="212">
        <v>43269.336000000003</v>
      </c>
      <c r="T616" s="37"/>
      <c r="V616" s="6">
        <f t="shared" si="176"/>
        <v>0</v>
      </c>
    </row>
    <row r="617" spans="1:22" ht="45">
      <c r="A617" s="204">
        <v>10</v>
      </c>
      <c r="B617" s="425" t="s">
        <v>2779</v>
      </c>
      <c r="C617" s="206" t="s">
        <v>996</v>
      </c>
      <c r="D617" s="206" t="s">
        <v>31</v>
      </c>
      <c r="E617" s="225" t="s">
        <v>1013</v>
      </c>
      <c r="F617" s="208" t="s">
        <v>1169</v>
      </c>
      <c r="G617" s="209">
        <v>19100.169000000002</v>
      </c>
      <c r="H617" s="209"/>
      <c r="I617" s="209"/>
      <c r="J617" s="209"/>
      <c r="K617" s="209">
        <v>19100.169000000002</v>
      </c>
      <c r="L617" s="221">
        <v>0</v>
      </c>
      <c r="M617" s="212">
        <f t="shared" si="173"/>
        <v>16178.782999999999</v>
      </c>
      <c r="N617" s="211"/>
      <c r="O617" s="211"/>
      <c r="P617" s="211"/>
      <c r="Q617" s="211"/>
      <c r="R617" s="211"/>
      <c r="S617" s="212">
        <v>16178.782999999999</v>
      </c>
      <c r="T617" s="37"/>
      <c r="V617" s="6">
        <f t="shared" si="176"/>
        <v>0</v>
      </c>
    </row>
    <row r="618" spans="1:22" ht="90">
      <c r="A618" s="204">
        <v>11</v>
      </c>
      <c r="B618" s="205" t="s">
        <v>987</v>
      </c>
      <c r="C618" s="206" t="s">
        <v>981</v>
      </c>
      <c r="D618" s="206" t="s">
        <v>31</v>
      </c>
      <c r="E618" s="207" t="s">
        <v>988</v>
      </c>
      <c r="F618" s="208" t="s">
        <v>1170</v>
      </c>
      <c r="G618" s="223">
        <v>20901.713</v>
      </c>
      <c r="H618" s="223"/>
      <c r="I618" s="223"/>
      <c r="J618" s="223"/>
      <c r="K618" s="209">
        <v>20901.713</v>
      </c>
      <c r="L618" s="221">
        <v>0</v>
      </c>
      <c r="M618" s="212">
        <f t="shared" si="173"/>
        <v>16707.901000000002</v>
      </c>
      <c r="N618" s="211"/>
      <c r="O618" s="211"/>
      <c r="P618" s="211"/>
      <c r="Q618" s="211"/>
      <c r="R618" s="211"/>
      <c r="S618" s="212">
        <v>16707.901000000002</v>
      </c>
      <c r="T618" s="37"/>
      <c r="V618" s="6">
        <f t="shared" si="176"/>
        <v>0</v>
      </c>
    </row>
    <row r="619" spans="1:22" ht="45">
      <c r="A619" s="204">
        <v>12</v>
      </c>
      <c r="B619" s="205" t="s">
        <v>967</v>
      </c>
      <c r="C619" s="206" t="s">
        <v>968</v>
      </c>
      <c r="D619" s="206" t="s">
        <v>31</v>
      </c>
      <c r="E619" s="207" t="s">
        <v>969</v>
      </c>
      <c r="F619" s="208" t="s">
        <v>1171</v>
      </c>
      <c r="G619" s="223">
        <v>24446.868000000002</v>
      </c>
      <c r="H619" s="223"/>
      <c r="I619" s="223"/>
      <c r="J619" s="223"/>
      <c r="K619" s="209">
        <v>24446.868000000002</v>
      </c>
      <c r="L619" s="221">
        <v>0</v>
      </c>
      <c r="M619" s="212">
        <f t="shared" si="173"/>
        <v>15000</v>
      </c>
      <c r="N619" s="211"/>
      <c r="O619" s="211"/>
      <c r="P619" s="211"/>
      <c r="Q619" s="211"/>
      <c r="R619" s="211"/>
      <c r="S619" s="212">
        <v>15000</v>
      </c>
      <c r="T619" s="37"/>
      <c r="V619" s="6">
        <f t="shared" si="176"/>
        <v>0</v>
      </c>
    </row>
    <row r="620" spans="1:22" s="226" customFormat="1" ht="45">
      <c r="A620" s="204">
        <v>13</v>
      </c>
      <c r="B620" s="205" t="s">
        <v>970</v>
      </c>
      <c r="C620" s="206" t="s">
        <v>968</v>
      </c>
      <c r="D620" s="206" t="s">
        <v>31</v>
      </c>
      <c r="E620" s="207" t="s">
        <v>969</v>
      </c>
      <c r="F620" s="208" t="s">
        <v>1172</v>
      </c>
      <c r="G620" s="223">
        <v>44342.093000000001</v>
      </c>
      <c r="H620" s="223"/>
      <c r="I620" s="223"/>
      <c r="J620" s="223"/>
      <c r="K620" s="209">
        <v>44342.093000000001</v>
      </c>
      <c r="L620" s="221">
        <v>0</v>
      </c>
      <c r="M620" s="212">
        <f t="shared" si="173"/>
        <v>20000</v>
      </c>
      <c r="N620" s="211"/>
      <c r="O620" s="211"/>
      <c r="P620" s="211"/>
      <c r="Q620" s="211"/>
      <c r="R620" s="211"/>
      <c r="S620" s="212">
        <v>20000</v>
      </c>
      <c r="T620" s="37"/>
      <c r="U620" s="1"/>
      <c r="V620" s="6">
        <f t="shared" si="176"/>
        <v>0</v>
      </c>
    </row>
    <row r="621" spans="1:22" s="226" customFormat="1" ht="45">
      <c r="A621" s="204">
        <v>14</v>
      </c>
      <c r="B621" s="205" t="s">
        <v>971</v>
      </c>
      <c r="C621" s="206" t="s">
        <v>972</v>
      </c>
      <c r="D621" s="206" t="s">
        <v>31</v>
      </c>
      <c r="E621" s="207" t="s">
        <v>969</v>
      </c>
      <c r="F621" s="208" t="s">
        <v>1173</v>
      </c>
      <c r="G621" s="223">
        <v>43913.665000000001</v>
      </c>
      <c r="H621" s="223"/>
      <c r="I621" s="223"/>
      <c r="J621" s="223"/>
      <c r="K621" s="209">
        <v>43913.665000000001</v>
      </c>
      <c r="L621" s="221">
        <v>0</v>
      </c>
      <c r="M621" s="212">
        <f t="shared" si="173"/>
        <v>15000</v>
      </c>
      <c r="N621" s="211"/>
      <c r="O621" s="211"/>
      <c r="P621" s="211"/>
      <c r="Q621" s="211"/>
      <c r="R621" s="211"/>
      <c r="S621" s="212">
        <v>15000</v>
      </c>
      <c r="T621" s="37"/>
      <c r="U621" s="1"/>
      <c r="V621" s="6">
        <f t="shared" si="176"/>
        <v>0</v>
      </c>
    </row>
    <row r="622" spans="1:22" s="226" customFormat="1" ht="60">
      <c r="A622" s="204">
        <v>15</v>
      </c>
      <c r="B622" s="205" t="s">
        <v>1174</v>
      </c>
      <c r="C622" s="206" t="s">
        <v>40</v>
      </c>
      <c r="D622" s="206" t="s">
        <v>31</v>
      </c>
      <c r="E622" s="207" t="s">
        <v>988</v>
      </c>
      <c r="F622" s="208" t="s">
        <v>1175</v>
      </c>
      <c r="G622" s="223">
        <v>1041.981</v>
      </c>
      <c r="H622" s="223"/>
      <c r="I622" s="223"/>
      <c r="J622" s="223"/>
      <c r="K622" s="212">
        <v>1041.981</v>
      </c>
      <c r="L622" s="221">
        <v>0</v>
      </c>
      <c r="M622" s="212">
        <f t="shared" si="173"/>
        <v>664.53200000000004</v>
      </c>
      <c r="N622" s="211"/>
      <c r="O622" s="211"/>
      <c r="P622" s="211"/>
      <c r="Q622" s="211"/>
      <c r="R622" s="211"/>
      <c r="S622" s="212">
        <v>664.53200000000004</v>
      </c>
      <c r="T622" s="37"/>
      <c r="U622" s="1"/>
      <c r="V622" s="6">
        <f t="shared" si="176"/>
        <v>0</v>
      </c>
    </row>
    <row r="623" spans="1:22" s="226" customFormat="1" ht="45">
      <c r="A623" s="204">
        <v>16</v>
      </c>
      <c r="B623" s="205" t="s">
        <v>1009</v>
      </c>
      <c r="C623" s="206" t="s">
        <v>1151</v>
      </c>
      <c r="D623" s="206" t="s">
        <v>31</v>
      </c>
      <c r="E623" s="207" t="s">
        <v>983</v>
      </c>
      <c r="F623" s="208" t="s">
        <v>1176</v>
      </c>
      <c r="G623" s="223">
        <v>3501.288</v>
      </c>
      <c r="H623" s="223"/>
      <c r="I623" s="223"/>
      <c r="J623" s="223"/>
      <c r="K623" s="209">
        <v>3501.288</v>
      </c>
      <c r="L623" s="221">
        <v>0</v>
      </c>
      <c r="M623" s="212">
        <f t="shared" si="173"/>
        <v>2336.2190000000001</v>
      </c>
      <c r="N623" s="211"/>
      <c r="O623" s="211"/>
      <c r="P623" s="211"/>
      <c r="Q623" s="211"/>
      <c r="R623" s="211"/>
      <c r="S623" s="212">
        <v>2336.2190000000001</v>
      </c>
      <c r="T623" s="37"/>
      <c r="U623" s="1"/>
      <c r="V623" s="6">
        <f t="shared" si="176"/>
        <v>0</v>
      </c>
    </row>
    <row r="624" spans="1:22" s="226" customFormat="1" ht="45">
      <c r="A624" s="204">
        <v>17</v>
      </c>
      <c r="B624" s="205" t="s">
        <v>1012</v>
      </c>
      <c r="C624" s="206" t="s">
        <v>40</v>
      </c>
      <c r="D624" s="206" t="s">
        <v>31</v>
      </c>
      <c r="E624" s="207" t="s">
        <v>1013</v>
      </c>
      <c r="F624" s="208" t="s">
        <v>1177</v>
      </c>
      <c r="G624" s="223">
        <v>8056.6970000000001</v>
      </c>
      <c r="H624" s="223"/>
      <c r="I624" s="223"/>
      <c r="J624" s="223"/>
      <c r="K624" s="209">
        <v>8056.6970000000001</v>
      </c>
      <c r="L624" s="221">
        <v>0</v>
      </c>
      <c r="M624" s="212">
        <f t="shared" si="173"/>
        <v>4999.5389999999998</v>
      </c>
      <c r="N624" s="211"/>
      <c r="O624" s="211"/>
      <c r="P624" s="211"/>
      <c r="Q624" s="211"/>
      <c r="R624" s="211"/>
      <c r="S624" s="212">
        <v>4999.5389999999998</v>
      </c>
      <c r="T624" s="37"/>
      <c r="U624" s="1"/>
      <c r="V624" s="6">
        <f t="shared" si="176"/>
        <v>0</v>
      </c>
    </row>
    <row r="625" spans="1:22" s="226" customFormat="1" ht="30">
      <c r="A625" s="204">
        <v>18</v>
      </c>
      <c r="B625" s="205" t="s">
        <v>1018</v>
      </c>
      <c r="C625" s="206" t="s">
        <v>981</v>
      </c>
      <c r="D625" s="206" t="s">
        <v>31</v>
      </c>
      <c r="E625" s="207" t="s">
        <v>983</v>
      </c>
      <c r="F625" s="208" t="s">
        <v>1178</v>
      </c>
      <c r="G625" s="223">
        <v>4213.1120000000001</v>
      </c>
      <c r="H625" s="223"/>
      <c r="I625" s="223"/>
      <c r="J625" s="223"/>
      <c r="K625" s="209">
        <v>4213.1120000000001</v>
      </c>
      <c r="L625" s="221">
        <v>0</v>
      </c>
      <c r="M625" s="212">
        <f t="shared" si="173"/>
        <v>3923.194</v>
      </c>
      <c r="N625" s="211"/>
      <c r="O625" s="211"/>
      <c r="P625" s="211"/>
      <c r="Q625" s="211"/>
      <c r="R625" s="211"/>
      <c r="S625" s="212">
        <v>3923.194</v>
      </c>
      <c r="T625" s="37"/>
      <c r="U625" s="1"/>
      <c r="V625" s="6">
        <f t="shared" si="176"/>
        <v>0</v>
      </c>
    </row>
    <row r="626" spans="1:22" s="226" customFormat="1" ht="45">
      <c r="A626" s="204">
        <v>19</v>
      </c>
      <c r="B626" s="205" t="s">
        <v>1179</v>
      </c>
      <c r="C626" s="206" t="s">
        <v>972</v>
      </c>
      <c r="D626" s="206" t="s">
        <v>31</v>
      </c>
      <c r="E626" s="207" t="s">
        <v>1016</v>
      </c>
      <c r="F626" s="208" t="s">
        <v>1180</v>
      </c>
      <c r="G626" s="223">
        <v>10375.483</v>
      </c>
      <c r="H626" s="223"/>
      <c r="I626" s="223"/>
      <c r="J626" s="223"/>
      <c r="K626" s="209">
        <v>10375.483</v>
      </c>
      <c r="L626" s="221">
        <v>0</v>
      </c>
      <c r="M626" s="212">
        <f t="shared" si="173"/>
        <v>8400</v>
      </c>
      <c r="N626" s="211"/>
      <c r="O626" s="211"/>
      <c r="P626" s="211"/>
      <c r="Q626" s="211"/>
      <c r="R626" s="211"/>
      <c r="S626" s="212">
        <v>8400</v>
      </c>
      <c r="T626" s="37"/>
      <c r="U626" s="1"/>
      <c r="V626" s="6">
        <f t="shared" si="176"/>
        <v>0</v>
      </c>
    </row>
    <row r="627" spans="1:22" s="226" customFormat="1" ht="30">
      <c r="A627" s="204">
        <v>20</v>
      </c>
      <c r="B627" s="205" t="s">
        <v>1181</v>
      </c>
      <c r="C627" s="206" t="s">
        <v>972</v>
      </c>
      <c r="D627" s="206" t="s">
        <v>31</v>
      </c>
      <c r="E627" s="207" t="s">
        <v>1016</v>
      </c>
      <c r="F627" s="208" t="s">
        <v>1182</v>
      </c>
      <c r="G627" s="223">
        <v>7834.5230000000001</v>
      </c>
      <c r="H627" s="223"/>
      <c r="I627" s="223"/>
      <c r="J627" s="223"/>
      <c r="K627" s="209">
        <v>7834.5230000000001</v>
      </c>
      <c r="L627" s="221">
        <v>0</v>
      </c>
      <c r="M627" s="212">
        <f t="shared" si="173"/>
        <v>6700</v>
      </c>
      <c r="N627" s="211"/>
      <c r="O627" s="211"/>
      <c r="P627" s="211"/>
      <c r="Q627" s="211"/>
      <c r="R627" s="211"/>
      <c r="S627" s="212">
        <v>6700</v>
      </c>
      <c r="T627" s="37"/>
      <c r="U627" s="1"/>
      <c r="V627" s="6">
        <f t="shared" si="176"/>
        <v>0</v>
      </c>
    </row>
    <row r="628" spans="1:22" s="226" customFormat="1" ht="45">
      <c r="A628" s="204">
        <v>21</v>
      </c>
      <c r="B628" s="205" t="s">
        <v>1015</v>
      </c>
      <c r="C628" s="206" t="s">
        <v>977</v>
      </c>
      <c r="D628" s="206" t="s">
        <v>31</v>
      </c>
      <c r="E628" s="207" t="s">
        <v>1016</v>
      </c>
      <c r="F628" s="208" t="s">
        <v>1183</v>
      </c>
      <c r="G628" s="223">
        <v>10921.362999999999</v>
      </c>
      <c r="H628" s="223"/>
      <c r="I628" s="223"/>
      <c r="J628" s="223"/>
      <c r="K628" s="209">
        <v>10921.362999999999</v>
      </c>
      <c r="L628" s="221">
        <v>0</v>
      </c>
      <c r="M628" s="212">
        <f t="shared" si="173"/>
        <v>10504.764000000001</v>
      </c>
      <c r="N628" s="211"/>
      <c r="O628" s="211"/>
      <c r="P628" s="211"/>
      <c r="Q628" s="211"/>
      <c r="R628" s="211"/>
      <c r="S628" s="212">
        <v>10504.764000000001</v>
      </c>
      <c r="T628" s="37"/>
      <c r="U628" s="1"/>
      <c r="V628" s="6">
        <f t="shared" si="176"/>
        <v>0</v>
      </c>
    </row>
    <row r="629" spans="1:22" s="226" customFormat="1" ht="45">
      <c r="A629" s="204">
        <v>22</v>
      </c>
      <c r="B629" s="205" t="s">
        <v>1184</v>
      </c>
      <c r="C629" s="206" t="s">
        <v>981</v>
      </c>
      <c r="D629" s="206" t="s">
        <v>31</v>
      </c>
      <c r="E629" s="207" t="s">
        <v>988</v>
      </c>
      <c r="F629" s="208" t="s">
        <v>1185</v>
      </c>
      <c r="G629" s="223">
        <v>14912.281000000001</v>
      </c>
      <c r="H629" s="223"/>
      <c r="I629" s="223"/>
      <c r="J629" s="223"/>
      <c r="K629" s="209">
        <v>14912.281000000001</v>
      </c>
      <c r="L629" s="221">
        <v>0</v>
      </c>
      <c r="M629" s="212">
        <f t="shared" si="173"/>
        <v>12315.869000000001</v>
      </c>
      <c r="N629" s="211"/>
      <c r="O629" s="211"/>
      <c r="P629" s="211"/>
      <c r="Q629" s="211"/>
      <c r="R629" s="211"/>
      <c r="S629" s="212">
        <v>12315.869000000001</v>
      </c>
      <c r="T629" s="37"/>
      <c r="U629" s="1"/>
      <c r="V629" s="6">
        <f t="shared" si="176"/>
        <v>0</v>
      </c>
    </row>
    <row r="630" spans="1:22" s="226" customFormat="1" ht="30">
      <c r="A630" s="204">
        <v>23</v>
      </c>
      <c r="B630" s="205" t="s">
        <v>1004</v>
      </c>
      <c r="C630" s="206" t="s">
        <v>968</v>
      </c>
      <c r="D630" s="206" t="s">
        <v>31</v>
      </c>
      <c r="E630" s="207" t="s">
        <v>969</v>
      </c>
      <c r="F630" s="208" t="s">
        <v>1186</v>
      </c>
      <c r="G630" s="223">
        <v>14719.743</v>
      </c>
      <c r="H630" s="223"/>
      <c r="I630" s="223"/>
      <c r="J630" s="223"/>
      <c r="K630" s="209">
        <v>14719.743</v>
      </c>
      <c r="L630" s="221">
        <v>0</v>
      </c>
      <c r="M630" s="212">
        <f t="shared" si="173"/>
        <v>9500</v>
      </c>
      <c r="N630" s="211"/>
      <c r="O630" s="211"/>
      <c r="P630" s="211"/>
      <c r="Q630" s="211"/>
      <c r="R630" s="211"/>
      <c r="S630" s="212">
        <v>9500</v>
      </c>
      <c r="T630" s="37"/>
      <c r="U630" s="1"/>
      <c r="V630" s="6">
        <f t="shared" si="176"/>
        <v>0</v>
      </c>
    </row>
    <row r="631" spans="1:22" s="226" customFormat="1" ht="30">
      <c r="A631" s="204">
        <v>24</v>
      </c>
      <c r="B631" s="205" t="s">
        <v>1005</v>
      </c>
      <c r="C631" s="206" t="s">
        <v>981</v>
      </c>
      <c r="D631" s="206" t="s">
        <v>31</v>
      </c>
      <c r="E631" s="207" t="s">
        <v>969</v>
      </c>
      <c r="F631" s="208" t="s">
        <v>1187</v>
      </c>
      <c r="G631" s="223">
        <v>10614.064</v>
      </c>
      <c r="H631" s="223"/>
      <c r="I631" s="223"/>
      <c r="J631" s="223"/>
      <c r="K631" s="209">
        <v>10614.064</v>
      </c>
      <c r="L631" s="221">
        <v>0</v>
      </c>
      <c r="M631" s="212">
        <f t="shared" si="173"/>
        <v>8000</v>
      </c>
      <c r="N631" s="211"/>
      <c r="O631" s="211"/>
      <c r="P631" s="211"/>
      <c r="Q631" s="211"/>
      <c r="R631" s="211"/>
      <c r="S631" s="212">
        <v>8000</v>
      </c>
      <c r="T631" s="37"/>
      <c r="U631" s="1"/>
      <c r="V631" s="6">
        <f t="shared" si="176"/>
        <v>0</v>
      </c>
    </row>
    <row r="632" spans="1:22" s="226" customFormat="1" ht="30">
      <c r="A632" s="204">
        <v>25</v>
      </c>
      <c r="B632" s="205" t="s">
        <v>1007</v>
      </c>
      <c r="C632" s="206" t="s">
        <v>1008</v>
      </c>
      <c r="D632" s="206" t="s">
        <v>31</v>
      </c>
      <c r="E632" s="207"/>
      <c r="F632" s="208" t="s">
        <v>1188</v>
      </c>
      <c r="G632" s="223">
        <v>8538.4570000000003</v>
      </c>
      <c r="H632" s="223"/>
      <c r="I632" s="223"/>
      <c r="J632" s="223"/>
      <c r="K632" s="209">
        <v>8538.4570000000003</v>
      </c>
      <c r="L632" s="221">
        <v>0</v>
      </c>
      <c r="M632" s="212">
        <f t="shared" si="173"/>
        <v>4999.9089999999997</v>
      </c>
      <c r="N632" s="211"/>
      <c r="O632" s="211"/>
      <c r="P632" s="211"/>
      <c r="Q632" s="211"/>
      <c r="R632" s="211"/>
      <c r="S632" s="212">
        <v>4999.9089999999997</v>
      </c>
      <c r="T632" s="37"/>
      <c r="U632" s="1"/>
      <c r="V632" s="6">
        <f t="shared" si="176"/>
        <v>0</v>
      </c>
    </row>
    <row r="633" spans="1:22" s="226" customFormat="1" ht="30">
      <c r="A633" s="204">
        <v>26</v>
      </c>
      <c r="B633" s="205" t="s">
        <v>1057</v>
      </c>
      <c r="C633" s="206" t="s">
        <v>993</v>
      </c>
      <c r="D633" s="206" t="s">
        <v>31</v>
      </c>
      <c r="E633" s="207" t="s">
        <v>1013</v>
      </c>
      <c r="F633" s="208" t="s">
        <v>1189</v>
      </c>
      <c r="G633" s="223">
        <v>583.70299999999997</v>
      </c>
      <c r="H633" s="223"/>
      <c r="I633" s="223"/>
      <c r="J633" s="223"/>
      <c r="K633" s="209">
        <v>583.70299999999997</v>
      </c>
      <c r="L633" s="221">
        <v>0</v>
      </c>
      <c r="M633" s="212">
        <f t="shared" si="173"/>
        <v>543.93000000000006</v>
      </c>
      <c r="N633" s="211"/>
      <c r="O633" s="211"/>
      <c r="P633" s="211"/>
      <c r="Q633" s="211"/>
      <c r="R633" s="211"/>
      <c r="S633" s="212">
        <v>543.93000000000006</v>
      </c>
      <c r="T633" s="37"/>
      <c r="U633" s="1"/>
      <c r="V633" s="6">
        <f t="shared" si="176"/>
        <v>0</v>
      </c>
    </row>
    <row r="634" spans="1:22" s="226" customFormat="1" ht="30">
      <c r="A634" s="204">
        <v>27</v>
      </c>
      <c r="B634" s="205" t="s">
        <v>1027</v>
      </c>
      <c r="C634" s="206" t="s">
        <v>40</v>
      </c>
      <c r="D634" s="206" t="s">
        <v>31</v>
      </c>
      <c r="E634" s="207" t="s">
        <v>1000</v>
      </c>
      <c r="F634" s="208" t="s">
        <v>1190</v>
      </c>
      <c r="G634" s="223">
        <v>8527.2950000000001</v>
      </c>
      <c r="H634" s="223"/>
      <c r="I634" s="223"/>
      <c r="J634" s="223"/>
      <c r="K634" s="212">
        <v>8527.2950000000001</v>
      </c>
      <c r="L634" s="221">
        <v>0</v>
      </c>
      <c r="M634" s="212">
        <f t="shared" si="173"/>
        <v>6671.0330000000004</v>
      </c>
      <c r="N634" s="211"/>
      <c r="O634" s="211"/>
      <c r="P634" s="211"/>
      <c r="Q634" s="211"/>
      <c r="R634" s="211"/>
      <c r="S634" s="212">
        <v>6671.0330000000004</v>
      </c>
      <c r="T634" s="37"/>
      <c r="U634" s="1"/>
      <c r="V634" s="6">
        <f t="shared" si="176"/>
        <v>0</v>
      </c>
    </row>
    <row r="635" spans="1:22" s="226" customFormat="1">
      <c r="A635" s="204">
        <v>28</v>
      </c>
      <c r="B635" s="205" t="s">
        <v>1031</v>
      </c>
      <c r="C635" s="206" t="s">
        <v>1010</v>
      </c>
      <c r="D635" s="206" t="s">
        <v>31</v>
      </c>
      <c r="E635" s="207" t="s">
        <v>1000</v>
      </c>
      <c r="F635" s="208" t="s">
        <v>1191</v>
      </c>
      <c r="G635" s="223">
        <v>3954.4500000000003</v>
      </c>
      <c r="H635" s="223"/>
      <c r="I635" s="223"/>
      <c r="J635" s="223"/>
      <c r="K635" s="209">
        <v>3954.4500000000003</v>
      </c>
      <c r="L635" s="221">
        <v>0</v>
      </c>
      <c r="M635" s="212">
        <f t="shared" si="173"/>
        <v>2962.5909999999999</v>
      </c>
      <c r="N635" s="211"/>
      <c r="O635" s="211"/>
      <c r="P635" s="211"/>
      <c r="Q635" s="211"/>
      <c r="R635" s="211"/>
      <c r="S635" s="212">
        <v>2962.5909999999999</v>
      </c>
      <c r="T635" s="37"/>
      <c r="U635" s="1"/>
      <c r="V635" s="6">
        <f t="shared" si="176"/>
        <v>0</v>
      </c>
    </row>
    <row r="636" spans="1:22" s="226" customFormat="1">
      <c r="A636" s="204">
        <v>29</v>
      </c>
      <c r="B636" s="205" t="s">
        <v>1033</v>
      </c>
      <c r="C636" s="206" t="s">
        <v>968</v>
      </c>
      <c r="D636" s="206" t="s">
        <v>31</v>
      </c>
      <c r="E636" s="207" t="s">
        <v>1000</v>
      </c>
      <c r="F636" s="208" t="s">
        <v>1192</v>
      </c>
      <c r="G636" s="223">
        <v>4242.7089999999998</v>
      </c>
      <c r="H636" s="223"/>
      <c r="I636" s="223"/>
      <c r="J636" s="223"/>
      <c r="K636" s="209">
        <v>4242.7089999999998</v>
      </c>
      <c r="L636" s="221">
        <v>0</v>
      </c>
      <c r="M636" s="212">
        <f t="shared" si="173"/>
        <v>2984.41</v>
      </c>
      <c r="N636" s="211"/>
      <c r="O636" s="211"/>
      <c r="P636" s="211"/>
      <c r="Q636" s="211"/>
      <c r="R636" s="211"/>
      <c r="S636" s="212">
        <v>2984.41</v>
      </c>
      <c r="T636" s="37"/>
      <c r="U636" s="1"/>
      <c r="V636" s="6">
        <f t="shared" si="176"/>
        <v>0</v>
      </c>
    </row>
    <row r="637" spans="1:22" s="226" customFormat="1">
      <c r="A637" s="204">
        <v>30</v>
      </c>
      <c r="B637" s="205" t="s">
        <v>1035</v>
      </c>
      <c r="C637" s="206" t="s">
        <v>1008</v>
      </c>
      <c r="D637" s="206" t="s">
        <v>31</v>
      </c>
      <c r="E637" s="207" t="s">
        <v>1000</v>
      </c>
      <c r="F637" s="208" t="s">
        <v>1193</v>
      </c>
      <c r="G637" s="223">
        <v>5499.55</v>
      </c>
      <c r="H637" s="223"/>
      <c r="I637" s="223"/>
      <c r="J637" s="223"/>
      <c r="K637" s="209">
        <v>5499.55</v>
      </c>
      <c r="L637" s="221">
        <v>0</v>
      </c>
      <c r="M637" s="212">
        <f t="shared" si="173"/>
        <v>4873.3389999999999</v>
      </c>
      <c r="N637" s="211"/>
      <c r="O637" s="211"/>
      <c r="P637" s="211"/>
      <c r="Q637" s="211"/>
      <c r="R637" s="211"/>
      <c r="S637" s="212">
        <v>4873.3389999999999</v>
      </c>
      <c r="T637" s="37"/>
      <c r="U637" s="1"/>
      <c r="V637" s="6">
        <f t="shared" si="176"/>
        <v>0</v>
      </c>
    </row>
    <row r="638" spans="1:22" s="226" customFormat="1" ht="30">
      <c r="A638" s="204">
        <v>31</v>
      </c>
      <c r="B638" s="205" t="s">
        <v>1194</v>
      </c>
      <c r="C638" s="206" t="s">
        <v>972</v>
      </c>
      <c r="D638" s="206" t="s">
        <v>31</v>
      </c>
      <c r="E638" s="207" t="s">
        <v>1000</v>
      </c>
      <c r="F638" s="208" t="s">
        <v>1195</v>
      </c>
      <c r="G638" s="223">
        <v>9825.1170000000002</v>
      </c>
      <c r="H638" s="223"/>
      <c r="I638" s="223"/>
      <c r="J638" s="223"/>
      <c r="K638" s="209">
        <v>9825.1170000000002</v>
      </c>
      <c r="L638" s="221">
        <v>0</v>
      </c>
      <c r="M638" s="212">
        <f t="shared" si="173"/>
        <v>4959.5150000000003</v>
      </c>
      <c r="N638" s="211"/>
      <c r="O638" s="211"/>
      <c r="P638" s="211"/>
      <c r="Q638" s="211"/>
      <c r="R638" s="211"/>
      <c r="S638" s="212">
        <v>4959.5150000000003</v>
      </c>
      <c r="T638" s="37"/>
      <c r="U638" s="1"/>
      <c r="V638" s="6">
        <f t="shared" si="176"/>
        <v>0</v>
      </c>
    </row>
    <row r="639" spans="1:22" s="226" customFormat="1" ht="30">
      <c r="A639" s="204">
        <v>32</v>
      </c>
      <c r="B639" s="205" t="s">
        <v>1029</v>
      </c>
      <c r="C639" s="206" t="s">
        <v>977</v>
      </c>
      <c r="D639" s="206" t="s">
        <v>31</v>
      </c>
      <c r="E639" s="207" t="s">
        <v>1000</v>
      </c>
      <c r="F639" s="208" t="s">
        <v>1196</v>
      </c>
      <c r="G639" s="223">
        <v>2526.3890000000001</v>
      </c>
      <c r="H639" s="223"/>
      <c r="I639" s="223"/>
      <c r="J639" s="223"/>
      <c r="K639" s="209">
        <v>2526.3890000000001</v>
      </c>
      <c r="L639" s="221">
        <v>0</v>
      </c>
      <c r="M639" s="212">
        <f t="shared" si="173"/>
        <v>1679.5520000000001</v>
      </c>
      <c r="N639" s="211"/>
      <c r="O639" s="211"/>
      <c r="P639" s="211"/>
      <c r="Q639" s="211"/>
      <c r="R639" s="211"/>
      <c r="S639" s="212">
        <v>1679.5520000000001</v>
      </c>
      <c r="T639" s="37"/>
      <c r="U639" s="1"/>
      <c r="V639" s="6">
        <f t="shared" si="176"/>
        <v>0</v>
      </c>
    </row>
    <row r="640" spans="1:22" s="226" customFormat="1" ht="30">
      <c r="A640" s="204">
        <v>33</v>
      </c>
      <c r="B640" s="205" t="s">
        <v>1197</v>
      </c>
      <c r="C640" s="206" t="s">
        <v>1151</v>
      </c>
      <c r="D640" s="206" t="s">
        <v>31</v>
      </c>
      <c r="E640" s="207" t="s">
        <v>978</v>
      </c>
      <c r="F640" s="208" t="s">
        <v>1198</v>
      </c>
      <c r="G640" s="209">
        <v>2818.2930000000001</v>
      </c>
      <c r="H640" s="209"/>
      <c r="I640" s="209"/>
      <c r="J640" s="209"/>
      <c r="K640" s="209">
        <v>2818.2930000000001</v>
      </c>
      <c r="L640" s="221">
        <v>0</v>
      </c>
      <c r="M640" s="212">
        <f t="shared" si="173"/>
        <v>2376</v>
      </c>
      <c r="N640" s="211"/>
      <c r="O640" s="211"/>
      <c r="P640" s="211"/>
      <c r="Q640" s="211"/>
      <c r="R640" s="211"/>
      <c r="S640" s="212">
        <v>2376</v>
      </c>
      <c r="T640" s="37"/>
      <c r="U640" s="1"/>
      <c r="V640" s="6">
        <f t="shared" si="176"/>
        <v>0</v>
      </c>
    </row>
    <row r="641" spans="1:22" s="226" customFormat="1" ht="30">
      <c r="A641" s="204">
        <v>34</v>
      </c>
      <c r="B641" s="205" t="s">
        <v>1199</v>
      </c>
      <c r="C641" s="206" t="s">
        <v>968</v>
      </c>
      <c r="D641" s="206" t="s">
        <v>31</v>
      </c>
      <c r="E641" s="207" t="s">
        <v>978</v>
      </c>
      <c r="F641" s="208" t="s">
        <v>1200</v>
      </c>
      <c r="G641" s="223">
        <v>2098.625</v>
      </c>
      <c r="H641" s="223"/>
      <c r="I641" s="223"/>
      <c r="J641" s="223"/>
      <c r="K641" s="209">
        <v>2098.625</v>
      </c>
      <c r="L641" s="221">
        <v>0</v>
      </c>
      <c r="M641" s="212">
        <f t="shared" ref="M641:M683" si="177">SUM(N641:S641)</f>
        <v>1757.9639999999999</v>
      </c>
      <c r="N641" s="211"/>
      <c r="O641" s="211"/>
      <c r="P641" s="211"/>
      <c r="Q641" s="211"/>
      <c r="R641" s="211"/>
      <c r="S641" s="212">
        <v>1757.9639999999999</v>
      </c>
      <c r="T641" s="37"/>
      <c r="U641" s="1"/>
      <c r="V641" s="6">
        <f t="shared" si="176"/>
        <v>0</v>
      </c>
    </row>
    <row r="642" spans="1:22" s="226" customFormat="1" ht="45">
      <c r="A642" s="204">
        <v>35</v>
      </c>
      <c r="B642" s="205" t="s">
        <v>1059</v>
      </c>
      <c r="C642" s="206" t="s">
        <v>1008</v>
      </c>
      <c r="D642" s="206" t="s">
        <v>31</v>
      </c>
      <c r="E642" s="207" t="s">
        <v>978</v>
      </c>
      <c r="F642" s="208" t="s">
        <v>1201</v>
      </c>
      <c r="G642" s="223">
        <v>1057.7650000000001</v>
      </c>
      <c r="H642" s="223"/>
      <c r="I642" s="223"/>
      <c r="J642" s="223"/>
      <c r="K642" s="209">
        <v>1057.7650000000001</v>
      </c>
      <c r="L642" s="221">
        <v>0</v>
      </c>
      <c r="M642" s="212">
        <f t="shared" si="177"/>
        <v>920.30700000000002</v>
      </c>
      <c r="N642" s="211"/>
      <c r="O642" s="211"/>
      <c r="P642" s="211"/>
      <c r="Q642" s="211"/>
      <c r="R642" s="211"/>
      <c r="S642" s="212">
        <v>920.30700000000002</v>
      </c>
      <c r="T642" s="37"/>
      <c r="U642" s="1"/>
      <c r="V642" s="6">
        <f t="shared" si="176"/>
        <v>0</v>
      </c>
    </row>
    <row r="643" spans="1:22" s="226" customFormat="1" ht="30">
      <c r="A643" s="204">
        <v>36</v>
      </c>
      <c r="B643" s="205" t="s">
        <v>1202</v>
      </c>
      <c r="C643" s="206" t="s">
        <v>972</v>
      </c>
      <c r="D643" s="206" t="s">
        <v>31</v>
      </c>
      <c r="E643" s="207" t="s">
        <v>978</v>
      </c>
      <c r="F643" s="208" t="s">
        <v>1203</v>
      </c>
      <c r="G643" s="223">
        <v>2289.2660000000001</v>
      </c>
      <c r="H643" s="223"/>
      <c r="I643" s="223"/>
      <c r="J643" s="223"/>
      <c r="K643" s="209">
        <v>2289.2660000000001</v>
      </c>
      <c r="L643" s="221">
        <v>0</v>
      </c>
      <c r="M643" s="212">
        <f t="shared" si="177"/>
        <v>2164.6999999999998</v>
      </c>
      <c r="N643" s="211"/>
      <c r="O643" s="211"/>
      <c r="P643" s="211"/>
      <c r="Q643" s="211"/>
      <c r="R643" s="211"/>
      <c r="S643" s="212">
        <v>2164.6999999999998</v>
      </c>
      <c r="T643" s="37"/>
      <c r="U643" s="1"/>
      <c r="V643" s="6">
        <f t="shared" si="176"/>
        <v>0</v>
      </c>
    </row>
    <row r="644" spans="1:22" s="226" customFormat="1" ht="45">
      <c r="A644" s="204">
        <v>37</v>
      </c>
      <c r="B644" s="205" t="s">
        <v>1045</v>
      </c>
      <c r="C644" s="206" t="s">
        <v>996</v>
      </c>
      <c r="D644" s="206" t="s">
        <v>31</v>
      </c>
      <c r="E644" s="207" t="s">
        <v>978</v>
      </c>
      <c r="F644" s="208" t="s">
        <v>1204</v>
      </c>
      <c r="G644" s="223">
        <v>2238.0410000000002</v>
      </c>
      <c r="H644" s="223"/>
      <c r="I644" s="223"/>
      <c r="J644" s="223"/>
      <c r="K644" s="209">
        <v>2238.0410000000002</v>
      </c>
      <c r="L644" s="221">
        <v>0</v>
      </c>
      <c r="M644" s="212">
        <f t="shared" si="177"/>
        <v>1722.14</v>
      </c>
      <c r="N644" s="211"/>
      <c r="O644" s="211"/>
      <c r="P644" s="211"/>
      <c r="Q644" s="211"/>
      <c r="R644" s="211"/>
      <c r="S644" s="212">
        <v>1722.14</v>
      </c>
      <c r="T644" s="37"/>
      <c r="U644" s="1"/>
      <c r="V644" s="6">
        <f t="shared" si="176"/>
        <v>0</v>
      </c>
    </row>
    <row r="645" spans="1:22" s="226" customFormat="1" ht="45">
      <c r="A645" s="204">
        <v>38</v>
      </c>
      <c r="B645" s="205" t="s">
        <v>1205</v>
      </c>
      <c r="C645" s="206" t="s">
        <v>968</v>
      </c>
      <c r="D645" s="206" t="s">
        <v>31</v>
      </c>
      <c r="E645" s="207" t="s">
        <v>1013</v>
      </c>
      <c r="F645" s="208" t="s">
        <v>1206</v>
      </c>
      <c r="G645" s="209">
        <v>4951.2020000000002</v>
      </c>
      <c r="H645" s="209"/>
      <c r="I645" s="209"/>
      <c r="J645" s="209"/>
      <c r="K645" s="209">
        <v>4951.2020000000002</v>
      </c>
      <c r="L645" s="221">
        <v>0</v>
      </c>
      <c r="M645" s="212">
        <f t="shared" si="177"/>
        <v>3989.1410000000001</v>
      </c>
      <c r="N645" s="211"/>
      <c r="O645" s="211"/>
      <c r="P645" s="211"/>
      <c r="Q645" s="211"/>
      <c r="R645" s="211"/>
      <c r="S645" s="212">
        <v>3989.1410000000001</v>
      </c>
      <c r="T645" s="37"/>
      <c r="U645" s="1"/>
      <c r="V645" s="6">
        <f t="shared" si="176"/>
        <v>0</v>
      </c>
    </row>
    <row r="646" spans="1:22" s="226" customFormat="1" ht="30">
      <c r="A646" s="204">
        <v>39</v>
      </c>
      <c r="B646" s="205" t="s">
        <v>1037</v>
      </c>
      <c r="C646" s="206" t="s">
        <v>40</v>
      </c>
      <c r="D646" s="206" t="s">
        <v>31</v>
      </c>
      <c r="E646" s="207" t="s">
        <v>978</v>
      </c>
      <c r="F646" s="208" t="s">
        <v>1207</v>
      </c>
      <c r="G646" s="223">
        <v>8315.6749999999993</v>
      </c>
      <c r="H646" s="223"/>
      <c r="I646" s="223"/>
      <c r="J646" s="223"/>
      <c r="K646" s="209">
        <v>8315.6749999999993</v>
      </c>
      <c r="L646" s="221">
        <v>0</v>
      </c>
      <c r="M646" s="212">
        <f t="shared" si="177"/>
        <v>7312.4930000000004</v>
      </c>
      <c r="N646" s="211"/>
      <c r="O646" s="211"/>
      <c r="P646" s="211"/>
      <c r="Q646" s="211"/>
      <c r="R646" s="211"/>
      <c r="S646" s="212">
        <v>7312.4930000000004</v>
      </c>
      <c r="T646" s="37"/>
      <c r="U646" s="1"/>
      <c r="V646" s="6">
        <f t="shared" si="176"/>
        <v>0</v>
      </c>
    </row>
    <row r="647" spans="1:22" s="226" customFormat="1" ht="45">
      <c r="A647" s="204">
        <v>40</v>
      </c>
      <c r="B647" s="205" t="s">
        <v>1047</v>
      </c>
      <c r="C647" s="206" t="s">
        <v>40</v>
      </c>
      <c r="D647" s="206" t="s">
        <v>31</v>
      </c>
      <c r="E647" s="207" t="s">
        <v>978</v>
      </c>
      <c r="F647" s="208" t="s">
        <v>1208</v>
      </c>
      <c r="G647" s="223">
        <v>11431.996999999999</v>
      </c>
      <c r="H647" s="223"/>
      <c r="I647" s="223"/>
      <c r="J647" s="223"/>
      <c r="K647" s="209">
        <v>11431.996999999999</v>
      </c>
      <c r="L647" s="221">
        <v>0</v>
      </c>
      <c r="M647" s="212">
        <f t="shared" si="177"/>
        <v>10294.226000000001</v>
      </c>
      <c r="N647" s="211"/>
      <c r="O647" s="211"/>
      <c r="P647" s="211"/>
      <c r="Q647" s="211"/>
      <c r="R647" s="211"/>
      <c r="S647" s="212">
        <v>10294.226000000001</v>
      </c>
      <c r="T647" s="37"/>
      <c r="U647" s="1"/>
      <c r="V647" s="6">
        <f t="shared" si="176"/>
        <v>0</v>
      </c>
    </row>
    <row r="648" spans="1:22" s="226" customFormat="1" ht="75">
      <c r="A648" s="204">
        <v>41</v>
      </c>
      <c r="B648" s="205" t="s">
        <v>1209</v>
      </c>
      <c r="C648" s="206" t="s">
        <v>40</v>
      </c>
      <c r="D648" s="206" t="s">
        <v>31</v>
      </c>
      <c r="E648" s="207" t="s">
        <v>978</v>
      </c>
      <c r="F648" s="208" t="s">
        <v>1210</v>
      </c>
      <c r="G648" s="223">
        <v>3508.9900000000002</v>
      </c>
      <c r="H648" s="223"/>
      <c r="I648" s="223"/>
      <c r="J648" s="223"/>
      <c r="K648" s="209">
        <v>3508.9900000000002</v>
      </c>
      <c r="L648" s="221">
        <v>0</v>
      </c>
      <c r="M648" s="212">
        <f t="shared" si="177"/>
        <v>2655.1260000000002</v>
      </c>
      <c r="N648" s="211"/>
      <c r="O648" s="211"/>
      <c r="P648" s="211"/>
      <c r="Q648" s="211"/>
      <c r="R648" s="211"/>
      <c r="S648" s="212">
        <v>2655.1260000000002</v>
      </c>
      <c r="T648" s="37"/>
      <c r="U648" s="1"/>
      <c r="V648" s="6">
        <f t="shared" si="176"/>
        <v>0</v>
      </c>
    </row>
    <row r="649" spans="1:22" s="226" customFormat="1" ht="30">
      <c r="A649" s="204">
        <v>42</v>
      </c>
      <c r="B649" s="205" t="s">
        <v>1053</v>
      </c>
      <c r="C649" s="206" t="s">
        <v>40</v>
      </c>
      <c r="D649" s="206" t="s">
        <v>31</v>
      </c>
      <c r="E649" s="207" t="s">
        <v>988</v>
      </c>
      <c r="F649" s="208" t="s">
        <v>1211</v>
      </c>
      <c r="G649" s="223">
        <v>6965.2970000000005</v>
      </c>
      <c r="H649" s="223"/>
      <c r="I649" s="223"/>
      <c r="J649" s="223"/>
      <c r="K649" s="209">
        <v>6965.2970000000005</v>
      </c>
      <c r="L649" s="221">
        <v>0</v>
      </c>
      <c r="M649" s="212">
        <f t="shared" si="177"/>
        <v>5852.1010000000006</v>
      </c>
      <c r="N649" s="211"/>
      <c r="O649" s="211"/>
      <c r="P649" s="211"/>
      <c r="Q649" s="211"/>
      <c r="R649" s="211"/>
      <c r="S649" s="212">
        <v>5852.1010000000006</v>
      </c>
      <c r="T649" s="37"/>
      <c r="U649" s="1"/>
      <c r="V649" s="6">
        <f t="shared" si="176"/>
        <v>0</v>
      </c>
    </row>
    <row r="650" spans="1:22" s="226" customFormat="1" ht="60">
      <c r="A650" s="204">
        <v>43</v>
      </c>
      <c r="B650" s="205" t="s">
        <v>1051</v>
      </c>
      <c r="C650" s="206" t="s">
        <v>40</v>
      </c>
      <c r="D650" s="206" t="s">
        <v>31</v>
      </c>
      <c r="E650" s="207" t="s">
        <v>988</v>
      </c>
      <c r="F650" s="208" t="s">
        <v>1212</v>
      </c>
      <c r="G650" s="209">
        <v>6907.1180000000004</v>
      </c>
      <c r="H650" s="209"/>
      <c r="I650" s="209"/>
      <c r="J650" s="209"/>
      <c r="K650" s="209">
        <v>6907.1180000000004</v>
      </c>
      <c r="L650" s="221">
        <v>0</v>
      </c>
      <c r="M650" s="212">
        <f t="shared" si="177"/>
        <v>6176.3490000000002</v>
      </c>
      <c r="N650" s="211"/>
      <c r="O650" s="211"/>
      <c r="P650" s="211"/>
      <c r="Q650" s="211"/>
      <c r="R650" s="211"/>
      <c r="S650" s="212">
        <v>6176.3490000000002</v>
      </c>
      <c r="T650" s="37"/>
      <c r="U650" s="1"/>
      <c r="V650" s="6">
        <f t="shared" si="176"/>
        <v>0</v>
      </c>
    </row>
    <row r="651" spans="1:22" s="226" customFormat="1" ht="45">
      <c r="A651" s="204">
        <v>44</v>
      </c>
      <c r="B651" s="205" t="s">
        <v>1063</v>
      </c>
      <c r="C651" s="206" t="s">
        <v>40</v>
      </c>
      <c r="D651" s="206" t="s">
        <v>31</v>
      </c>
      <c r="E651" s="207" t="s">
        <v>1013</v>
      </c>
      <c r="F651" s="208" t="s">
        <v>1213</v>
      </c>
      <c r="G651" s="223">
        <v>4409.46</v>
      </c>
      <c r="H651" s="223"/>
      <c r="I651" s="223"/>
      <c r="J651" s="223"/>
      <c r="K651" s="209">
        <v>4409.46</v>
      </c>
      <c r="L651" s="221">
        <v>0</v>
      </c>
      <c r="M651" s="212">
        <f t="shared" si="177"/>
        <v>4013</v>
      </c>
      <c r="N651" s="211"/>
      <c r="O651" s="211"/>
      <c r="P651" s="211"/>
      <c r="Q651" s="211"/>
      <c r="R651" s="211"/>
      <c r="S651" s="212">
        <v>4013</v>
      </c>
      <c r="T651" s="37"/>
      <c r="U651" s="1"/>
      <c r="V651" s="6">
        <f t="shared" si="176"/>
        <v>0</v>
      </c>
    </row>
    <row r="652" spans="1:22" s="226" customFormat="1" ht="75">
      <c r="A652" s="204">
        <v>45</v>
      </c>
      <c r="B652" s="205" t="s">
        <v>1067</v>
      </c>
      <c r="C652" s="206" t="s">
        <v>40</v>
      </c>
      <c r="D652" s="206" t="s">
        <v>31</v>
      </c>
      <c r="E652" s="207" t="s">
        <v>1013</v>
      </c>
      <c r="F652" s="208" t="s">
        <v>1214</v>
      </c>
      <c r="G652" s="223">
        <v>5007.7160000000003</v>
      </c>
      <c r="H652" s="223"/>
      <c r="I652" s="223"/>
      <c r="J652" s="223"/>
      <c r="K652" s="209">
        <v>5007.7160000000003</v>
      </c>
      <c r="L652" s="221">
        <v>0</v>
      </c>
      <c r="M652" s="212">
        <f t="shared" si="177"/>
        <v>4440.8060000000005</v>
      </c>
      <c r="N652" s="211"/>
      <c r="O652" s="211"/>
      <c r="P652" s="211"/>
      <c r="Q652" s="211"/>
      <c r="R652" s="211"/>
      <c r="S652" s="212">
        <v>4440.8060000000005</v>
      </c>
      <c r="T652" s="37"/>
      <c r="U652" s="1"/>
      <c r="V652" s="6">
        <f t="shared" si="176"/>
        <v>0</v>
      </c>
    </row>
    <row r="653" spans="1:22" s="226" customFormat="1" ht="75">
      <c r="A653" s="204">
        <v>46</v>
      </c>
      <c r="B653" s="205" t="s">
        <v>1069</v>
      </c>
      <c r="C653" s="206" t="s">
        <v>40</v>
      </c>
      <c r="D653" s="206" t="s">
        <v>31</v>
      </c>
      <c r="E653" s="207" t="s">
        <v>983</v>
      </c>
      <c r="F653" s="208" t="s">
        <v>1215</v>
      </c>
      <c r="G653" s="209">
        <v>6600.6260000000002</v>
      </c>
      <c r="H653" s="209"/>
      <c r="I653" s="209"/>
      <c r="J653" s="209"/>
      <c r="K653" s="209">
        <v>6600.6260000000002</v>
      </c>
      <c r="L653" s="221">
        <v>0</v>
      </c>
      <c r="M653" s="212">
        <f t="shared" si="177"/>
        <v>3595.5720000000001</v>
      </c>
      <c r="N653" s="211"/>
      <c r="O653" s="211"/>
      <c r="P653" s="211"/>
      <c r="Q653" s="211"/>
      <c r="R653" s="211"/>
      <c r="S653" s="212">
        <v>3595.5720000000001</v>
      </c>
      <c r="T653" s="37"/>
      <c r="U653" s="1"/>
      <c r="V653" s="6">
        <f t="shared" si="176"/>
        <v>0</v>
      </c>
    </row>
    <row r="654" spans="1:22" s="226" customFormat="1" ht="60">
      <c r="A654" s="204">
        <v>47</v>
      </c>
      <c r="B654" s="205" t="s">
        <v>1216</v>
      </c>
      <c r="C654" s="206" t="s">
        <v>40</v>
      </c>
      <c r="D654" s="206" t="s">
        <v>31</v>
      </c>
      <c r="E654" s="207" t="s">
        <v>1013</v>
      </c>
      <c r="F654" s="208" t="s">
        <v>1217</v>
      </c>
      <c r="G654" s="209">
        <v>915.44100000000003</v>
      </c>
      <c r="H654" s="209"/>
      <c r="I654" s="209"/>
      <c r="J654" s="209"/>
      <c r="K654" s="209">
        <v>915.44100000000003</v>
      </c>
      <c r="L654" s="221">
        <v>0</v>
      </c>
      <c r="M654" s="212">
        <f t="shared" si="177"/>
        <v>793.553</v>
      </c>
      <c r="N654" s="211"/>
      <c r="O654" s="211"/>
      <c r="P654" s="211"/>
      <c r="Q654" s="211"/>
      <c r="R654" s="211"/>
      <c r="S654" s="212">
        <v>793.553</v>
      </c>
      <c r="T654" s="37"/>
      <c r="U654" s="1"/>
      <c r="V654" s="6">
        <f t="shared" si="176"/>
        <v>0</v>
      </c>
    </row>
    <row r="655" spans="1:22" s="226" customFormat="1" ht="30">
      <c r="A655" s="204">
        <v>48</v>
      </c>
      <c r="B655" s="205" t="s">
        <v>1218</v>
      </c>
      <c r="C655" s="206" t="s">
        <v>981</v>
      </c>
      <c r="D655" s="206" t="s">
        <v>31</v>
      </c>
      <c r="E655" s="207" t="s">
        <v>983</v>
      </c>
      <c r="F655" s="208" t="s">
        <v>1219</v>
      </c>
      <c r="G655" s="209">
        <v>1066.682</v>
      </c>
      <c r="H655" s="209"/>
      <c r="I655" s="209"/>
      <c r="J655" s="209"/>
      <c r="K655" s="209">
        <v>1066.682</v>
      </c>
      <c r="L655" s="221">
        <v>0</v>
      </c>
      <c r="M655" s="212">
        <f t="shared" si="177"/>
        <v>955.14400000000001</v>
      </c>
      <c r="N655" s="211"/>
      <c r="O655" s="211"/>
      <c r="P655" s="211"/>
      <c r="Q655" s="211"/>
      <c r="R655" s="211"/>
      <c r="S655" s="212">
        <v>955.14400000000001</v>
      </c>
      <c r="T655" s="37"/>
      <c r="U655" s="1"/>
      <c r="V655" s="6">
        <f t="shared" si="176"/>
        <v>0</v>
      </c>
    </row>
    <row r="656" spans="1:22" s="226" customFormat="1" ht="45">
      <c r="A656" s="204">
        <v>49</v>
      </c>
      <c r="B656" s="205" t="s">
        <v>1071</v>
      </c>
      <c r="C656" s="206" t="s">
        <v>1072</v>
      </c>
      <c r="D656" s="206" t="s">
        <v>31</v>
      </c>
      <c r="E656" s="207" t="s">
        <v>983</v>
      </c>
      <c r="F656" s="208" t="s">
        <v>1220</v>
      </c>
      <c r="G656" s="209">
        <v>10276.727000000001</v>
      </c>
      <c r="H656" s="209"/>
      <c r="I656" s="209"/>
      <c r="J656" s="209"/>
      <c r="K656" s="209">
        <v>10276.727000000001</v>
      </c>
      <c r="L656" s="221">
        <v>0</v>
      </c>
      <c r="M656" s="212">
        <f t="shared" si="177"/>
        <v>8642.39</v>
      </c>
      <c r="N656" s="211"/>
      <c r="O656" s="211"/>
      <c r="P656" s="211"/>
      <c r="Q656" s="211"/>
      <c r="R656" s="211"/>
      <c r="S656" s="212">
        <v>8642.39</v>
      </c>
      <c r="T656" s="37"/>
      <c r="U656" s="1"/>
      <c r="V656" s="6">
        <f t="shared" si="176"/>
        <v>0</v>
      </c>
    </row>
    <row r="657" spans="1:22" s="226" customFormat="1" ht="105">
      <c r="A657" s="204">
        <v>50</v>
      </c>
      <c r="B657" s="205" t="s">
        <v>1074</v>
      </c>
      <c r="C657" s="206" t="s">
        <v>1151</v>
      </c>
      <c r="D657" s="206" t="s">
        <v>31</v>
      </c>
      <c r="E657" s="207" t="s">
        <v>983</v>
      </c>
      <c r="F657" s="208" t="s">
        <v>1221</v>
      </c>
      <c r="G657" s="209">
        <v>9642.0540000000001</v>
      </c>
      <c r="H657" s="209"/>
      <c r="I657" s="209"/>
      <c r="J657" s="209"/>
      <c r="K657" s="209">
        <v>9642.0540000000001</v>
      </c>
      <c r="L657" s="221">
        <v>0</v>
      </c>
      <c r="M657" s="212">
        <f t="shared" si="177"/>
        <v>8097.8320000000003</v>
      </c>
      <c r="N657" s="211"/>
      <c r="O657" s="211"/>
      <c r="P657" s="211"/>
      <c r="Q657" s="211"/>
      <c r="R657" s="211"/>
      <c r="S657" s="212">
        <v>8097.8320000000003</v>
      </c>
      <c r="T657" s="37"/>
      <c r="U657" s="1"/>
      <c r="V657" s="6">
        <f t="shared" si="176"/>
        <v>0</v>
      </c>
    </row>
    <row r="658" spans="1:22" s="226" customFormat="1" ht="45">
      <c r="A658" s="204">
        <v>51</v>
      </c>
      <c r="B658" s="205" t="s">
        <v>1076</v>
      </c>
      <c r="C658" s="206" t="s">
        <v>1008</v>
      </c>
      <c r="D658" s="206" t="s">
        <v>31</v>
      </c>
      <c r="E658" s="207" t="s">
        <v>983</v>
      </c>
      <c r="F658" s="208" t="s">
        <v>1222</v>
      </c>
      <c r="G658" s="209">
        <v>5036.04</v>
      </c>
      <c r="H658" s="209"/>
      <c r="I658" s="209"/>
      <c r="J658" s="209"/>
      <c r="K658" s="209">
        <v>5036.04</v>
      </c>
      <c r="L658" s="221">
        <v>0</v>
      </c>
      <c r="M658" s="212">
        <f t="shared" si="177"/>
        <v>3163.4410000000003</v>
      </c>
      <c r="N658" s="211"/>
      <c r="O658" s="211"/>
      <c r="P658" s="211"/>
      <c r="Q658" s="211"/>
      <c r="R658" s="211"/>
      <c r="S658" s="212">
        <v>3163.4410000000003</v>
      </c>
      <c r="T658" s="37"/>
      <c r="U658" s="1"/>
      <c r="V658" s="6">
        <f t="shared" si="176"/>
        <v>0</v>
      </c>
    </row>
    <row r="659" spans="1:22" s="226" customFormat="1" ht="45">
      <c r="A659" s="204">
        <v>52</v>
      </c>
      <c r="B659" s="205" t="s">
        <v>1078</v>
      </c>
      <c r="C659" s="206" t="s">
        <v>974</v>
      </c>
      <c r="D659" s="206" t="s">
        <v>31</v>
      </c>
      <c r="E659" s="207" t="s">
        <v>983</v>
      </c>
      <c r="F659" s="208" t="s">
        <v>1223</v>
      </c>
      <c r="G659" s="209">
        <v>10451.355</v>
      </c>
      <c r="H659" s="209"/>
      <c r="I659" s="209"/>
      <c r="J659" s="209"/>
      <c r="K659" s="209">
        <v>10451.355</v>
      </c>
      <c r="L659" s="221">
        <v>0</v>
      </c>
      <c r="M659" s="212">
        <f t="shared" si="177"/>
        <v>9664.4429999999993</v>
      </c>
      <c r="N659" s="211"/>
      <c r="O659" s="211"/>
      <c r="P659" s="211"/>
      <c r="Q659" s="211"/>
      <c r="R659" s="211"/>
      <c r="S659" s="212">
        <v>9664.4429999999993</v>
      </c>
      <c r="T659" s="37"/>
      <c r="U659" s="1"/>
      <c r="V659" s="6">
        <f t="shared" si="176"/>
        <v>0</v>
      </c>
    </row>
    <row r="660" spans="1:22" s="226" customFormat="1" ht="60">
      <c r="A660" s="204">
        <v>53</v>
      </c>
      <c r="B660" s="205" t="s">
        <v>1080</v>
      </c>
      <c r="C660" s="206" t="s">
        <v>996</v>
      </c>
      <c r="D660" s="206" t="s">
        <v>31</v>
      </c>
      <c r="E660" s="207" t="s">
        <v>983</v>
      </c>
      <c r="F660" s="208" t="s">
        <v>1224</v>
      </c>
      <c r="G660" s="209">
        <v>13608.087</v>
      </c>
      <c r="H660" s="209"/>
      <c r="I660" s="209"/>
      <c r="J660" s="209"/>
      <c r="K660" s="209">
        <v>13608.087</v>
      </c>
      <c r="L660" s="221">
        <v>0</v>
      </c>
      <c r="M660" s="212">
        <f t="shared" si="177"/>
        <v>12996.04</v>
      </c>
      <c r="N660" s="211"/>
      <c r="O660" s="211"/>
      <c r="P660" s="211"/>
      <c r="Q660" s="211"/>
      <c r="R660" s="211"/>
      <c r="S660" s="212">
        <v>12996.04</v>
      </c>
      <c r="T660" s="37"/>
      <c r="U660" s="1"/>
      <c r="V660" s="6">
        <f t="shared" ref="V660:V723" si="178">G660-H660-I660-J660-K660</f>
        <v>0</v>
      </c>
    </row>
    <row r="661" spans="1:22" s="226" customFormat="1">
      <c r="A661" s="204">
        <v>54</v>
      </c>
      <c r="B661" s="205" t="s">
        <v>1082</v>
      </c>
      <c r="C661" s="206" t="s">
        <v>996</v>
      </c>
      <c r="D661" s="206" t="s">
        <v>31</v>
      </c>
      <c r="E661" s="207" t="s">
        <v>1013</v>
      </c>
      <c r="F661" s="227" t="s">
        <v>1225</v>
      </c>
      <c r="G661" s="209">
        <v>12476.763000000001</v>
      </c>
      <c r="H661" s="209"/>
      <c r="I661" s="209"/>
      <c r="J661" s="209"/>
      <c r="K661" s="209">
        <v>12476.763000000001</v>
      </c>
      <c r="L661" s="221">
        <v>0</v>
      </c>
      <c r="M661" s="212">
        <f t="shared" si="177"/>
        <v>11637.032000000001</v>
      </c>
      <c r="N661" s="211"/>
      <c r="O661" s="211"/>
      <c r="P661" s="211"/>
      <c r="Q661" s="211"/>
      <c r="R661" s="211"/>
      <c r="S661" s="212">
        <v>11637.032000000001</v>
      </c>
      <c r="T661" s="37"/>
      <c r="U661" s="1"/>
      <c r="V661" s="6">
        <f t="shared" si="178"/>
        <v>0</v>
      </c>
    </row>
    <row r="662" spans="1:22" s="226" customFormat="1" ht="45">
      <c r="A662" s="204">
        <v>55</v>
      </c>
      <c r="B662" s="205" t="s">
        <v>1025</v>
      </c>
      <c r="C662" s="206" t="s">
        <v>40</v>
      </c>
      <c r="D662" s="206" t="s">
        <v>31</v>
      </c>
      <c r="E662" s="207" t="s">
        <v>969</v>
      </c>
      <c r="F662" s="228" t="s">
        <v>1226</v>
      </c>
      <c r="G662" s="209">
        <v>8738.2019999999993</v>
      </c>
      <c r="H662" s="209"/>
      <c r="I662" s="209"/>
      <c r="J662" s="209"/>
      <c r="K662" s="209">
        <v>8738.2019999999993</v>
      </c>
      <c r="L662" s="221">
        <v>0</v>
      </c>
      <c r="M662" s="212">
        <f t="shared" si="177"/>
        <v>3191.1019999999999</v>
      </c>
      <c r="N662" s="211"/>
      <c r="O662" s="211"/>
      <c r="P662" s="211"/>
      <c r="Q662" s="211"/>
      <c r="R662" s="211"/>
      <c r="S662" s="212">
        <v>3191.1019999999999</v>
      </c>
      <c r="T662" s="37"/>
      <c r="U662" s="1"/>
      <c r="V662" s="6">
        <f t="shared" si="178"/>
        <v>0</v>
      </c>
    </row>
    <row r="663" spans="1:22" s="226" customFormat="1" ht="30">
      <c r="A663" s="204">
        <v>56</v>
      </c>
      <c r="B663" s="205" t="s">
        <v>1084</v>
      </c>
      <c r="C663" s="206" t="s">
        <v>40</v>
      </c>
      <c r="D663" s="206" t="s">
        <v>31</v>
      </c>
      <c r="E663" s="207" t="s">
        <v>969</v>
      </c>
      <c r="F663" s="207" t="s">
        <v>1227</v>
      </c>
      <c r="G663" s="229">
        <v>9447.0480000000007</v>
      </c>
      <c r="H663" s="229"/>
      <c r="I663" s="229"/>
      <c r="J663" s="229"/>
      <c r="K663" s="209">
        <v>9447.0480000000007</v>
      </c>
      <c r="L663" s="221">
        <v>0</v>
      </c>
      <c r="M663" s="212">
        <f t="shared" si="177"/>
        <v>3322.31</v>
      </c>
      <c r="N663" s="211"/>
      <c r="O663" s="211"/>
      <c r="P663" s="211"/>
      <c r="Q663" s="211"/>
      <c r="R663" s="211"/>
      <c r="S663" s="212">
        <v>3322.31</v>
      </c>
      <c r="T663" s="37"/>
      <c r="U663" s="1"/>
      <c r="V663" s="6">
        <f t="shared" si="178"/>
        <v>0</v>
      </c>
    </row>
    <row r="664" spans="1:22" s="226" customFormat="1" ht="30">
      <c r="A664" s="204">
        <v>57</v>
      </c>
      <c r="B664" s="205" t="s">
        <v>1086</v>
      </c>
      <c r="C664" s="206" t="s">
        <v>40</v>
      </c>
      <c r="D664" s="206" t="s">
        <v>31</v>
      </c>
      <c r="E664" s="207" t="s">
        <v>969</v>
      </c>
      <c r="F664" s="207" t="s">
        <v>1228</v>
      </c>
      <c r="G664" s="229">
        <v>11127.708000000001</v>
      </c>
      <c r="H664" s="229"/>
      <c r="I664" s="229"/>
      <c r="J664" s="229"/>
      <c r="K664" s="209">
        <v>11127.708000000001</v>
      </c>
      <c r="L664" s="221">
        <v>0</v>
      </c>
      <c r="M664" s="212">
        <f t="shared" si="177"/>
        <v>5067.643</v>
      </c>
      <c r="N664" s="211"/>
      <c r="O664" s="211"/>
      <c r="P664" s="211"/>
      <c r="Q664" s="211"/>
      <c r="R664" s="211"/>
      <c r="S664" s="212">
        <v>5067.643</v>
      </c>
      <c r="T664" s="37"/>
      <c r="U664" s="1"/>
      <c r="V664" s="6">
        <f t="shared" si="178"/>
        <v>0</v>
      </c>
    </row>
    <row r="665" spans="1:22" s="226" customFormat="1" ht="45">
      <c r="A665" s="204">
        <v>58</v>
      </c>
      <c r="B665" s="205" t="s">
        <v>1088</v>
      </c>
      <c r="C665" s="206" t="s">
        <v>40</v>
      </c>
      <c r="D665" s="206" t="s">
        <v>31</v>
      </c>
      <c r="E665" s="207" t="s">
        <v>969</v>
      </c>
      <c r="F665" s="207" t="s">
        <v>1229</v>
      </c>
      <c r="G665" s="229">
        <v>6634.1490000000003</v>
      </c>
      <c r="H665" s="229"/>
      <c r="I665" s="229"/>
      <c r="J665" s="229"/>
      <c r="K665" s="209">
        <v>6634.1490000000003</v>
      </c>
      <c r="L665" s="221">
        <v>0</v>
      </c>
      <c r="M665" s="212">
        <f t="shared" si="177"/>
        <v>3000</v>
      </c>
      <c r="N665" s="211"/>
      <c r="O665" s="211"/>
      <c r="P665" s="211"/>
      <c r="Q665" s="211"/>
      <c r="R665" s="211"/>
      <c r="S665" s="212">
        <v>3000</v>
      </c>
      <c r="T665" s="37"/>
      <c r="U665" s="1"/>
      <c r="V665" s="6">
        <f t="shared" si="178"/>
        <v>0</v>
      </c>
    </row>
    <row r="666" spans="1:22" s="226" customFormat="1" ht="30">
      <c r="A666" s="204">
        <v>59</v>
      </c>
      <c r="B666" s="205" t="s">
        <v>1090</v>
      </c>
      <c r="C666" s="206" t="s">
        <v>993</v>
      </c>
      <c r="D666" s="206" t="s">
        <v>31</v>
      </c>
      <c r="E666" s="207" t="s">
        <v>1013</v>
      </c>
      <c r="F666" s="208" t="s">
        <v>1230</v>
      </c>
      <c r="G666" s="209">
        <v>4675.0820000000003</v>
      </c>
      <c r="H666" s="209"/>
      <c r="I666" s="209"/>
      <c r="J666" s="209"/>
      <c r="K666" s="209">
        <v>4675.0820000000003</v>
      </c>
      <c r="L666" s="221">
        <v>0</v>
      </c>
      <c r="M666" s="212">
        <f t="shared" si="177"/>
        <v>4208.826</v>
      </c>
      <c r="N666" s="211"/>
      <c r="O666" s="211"/>
      <c r="P666" s="211"/>
      <c r="Q666" s="211"/>
      <c r="R666" s="211"/>
      <c r="S666" s="212">
        <v>4208.826</v>
      </c>
      <c r="T666" s="37"/>
      <c r="U666" s="1"/>
      <c r="V666" s="6">
        <f t="shared" si="178"/>
        <v>0</v>
      </c>
    </row>
    <row r="667" spans="1:22" s="226" customFormat="1" ht="30">
      <c r="A667" s="204">
        <v>60</v>
      </c>
      <c r="B667" s="205" t="s">
        <v>1103</v>
      </c>
      <c r="C667" s="206" t="s">
        <v>1104</v>
      </c>
      <c r="D667" s="206" t="s">
        <v>31</v>
      </c>
      <c r="E667" s="207" t="s">
        <v>1013</v>
      </c>
      <c r="F667" s="208" t="s">
        <v>1231</v>
      </c>
      <c r="G667" s="223">
        <v>8109.95</v>
      </c>
      <c r="H667" s="223"/>
      <c r="I667" s="223"/>
      <c r="J667" s="223"/>
      <c r="K667" s="209">
        <v>8109.95</v>
      </c>
      <c r="L667" s="221">
        <v>0</v>
      </c>
      <c r="M667" s="212">
        <f t="shared" si="177"/>
        <v>6487.7439999999997</v>
      </c>
      <c r="N667" s="211"/>
      <c r="O667" s="211"/>
      <c r="P667" s="211"/>
      <c r="Q667" s="211"/>
      <c r="R667" s="211"/>
      <c r="S667" s="212">
        <v>6487.7439999999997</v>
      </c>
      <c r="T667" s="37"/>
      <c r="U667" s="1"/>
      <c r="V667" s="6">
        <f t="shared" si="178"/>
        <v>0</v>
      </c>
    </row>
    <row r="668" spans="1:22" s="226" customFormat="1" ht="30">
      <c r="A668" s="204">
        <v>61</v>
      </c>
      <c r="B668" s="205" t="s">
        <v>1232</v>
      </c>
      <c r="C668" s="206" t="s">
        <v>972</v>
      </c>
      <c r="D668" s="206" t="s">
        <v>31</v>
      </c>
      <c r="E668" s="207" t="s">
        <v>1000</v>
      </c>
      <c r="F668" s="208" t="s">
        <v>1233</v>
      </c>
      <c r="G668" s="209">
        <v>6902.3159999999998</v>
      </c>
      <c r="H668" s="209"/>
      <c r="I668" s="209"/>
      <c r="J668" s="209"/>
      <c r="K668" s="209">
        <v>6902.3159999999998</v>
      </c>
      <c r="L668" s="221">
        <v>200</v>
      </c>
      <c r="M668" s="212">
        <f t="shared" si="177"/>
        <v>6113.6779999999999</v>
      </c>
      <c r="N668" s="211"/>
      <c r="O668" s="211"/>
      <c r="P668" s="211"/>
      <c r="Q668" s="211"/>
      <c r="R668" s="211"/>
      <c r="S668" s="212">
        <v>6113.6779999999999</v>
      </c>
      <c r="T668" s="37"/>
      <c r="U668" s="1"/>
      <c r="V668" s="6">
        <f t="shared" si="178"/>
        <v>0</v>
      </c>
    </row>
    <row r="669" spans="1:22" s="226" customFormat="1" ht="30">
      <c r="A669" s="204">
        <v>62</v>
      </c>
      <c r="B669" s="205" t="s">
        <v>1234</v>
      </c>
      <c r="C669" s="206" t="s">
        <v>1101</v>
      </c>
      <c r="D669" s="206" t="s">
        <v>31</v>
      </c>
      <c r="E669" s="207" t="s">
        <v>1013</v>
      </c>
      <c r="F669" s="208" t="s">
        <v>1235</v>
      </c>
      <c r="G669" s="209">
        <v>3005.5819999999999</v>
      </c>
      <c r="H669" s="209"/>
      <c r="I669" s="209"/>
      <c r="J669" s="209"/>
      <c r="K669" s="209">
        <v>3005.5819999999999</v>
      </c>
      <c r="L669" s="221">
        <v>0</v>
      </c>
      <c r="M669" s="212">
        <f t="shared" si="177"/>
        <v>2130.5140000000001</v>
      </c>
      <c r="N669" s="211"/>
      <c r="O669" s="211"/>
      <c r="P669" s="211"/>
      <c r="Q669" s="211"/>
      <c r="R669" s="211"/>
      <c r="S669" s="212">
        <v>2130.5140000000001</v>
      </c>
      <c r="T669" s="37"/>
      <c r="U669" s="1"/>
      <c r="V669" s="6">
        <f t="shared" si="178"/>
        <v>0</v>
      </c>
    </row>
    <row r="670" spans="1:22" s="226" customFormat="1" ht="30">
      <c r="A670" s="204">
        <v>63</v>
      </c>
      <c r="B670" s="205" t="s">
        <v>1236</v>
      </c>
      <c r="C670" s="206" t="s">
        <v>981</v>
      </c>
      <c r="D670" s="206" t="s">
        <v>31</v>
      </c>
      <c r="E670" s="207" t="s">
        <v>1013</v>
      </c>
      <c r="F670" s="208" t="s">
        <v>1237</v>
      </c>
      <c r="G670" s="209">
        <v>5593.375</v>
      </c>
      <c r="H670" s="209"/>
      <c r="I670" s="209"/>
      <c r="J670" s="209"/>
      <c r="K670" s="209">
        <v>5593.375</v>
      </c>
      <c r="L670" s="221">
        <v>0</v>
      </c>
      <c r="M670" s="212">
        <f t="shared" si="177"/>
        <v>3656.6840000000002</v>
      </c>
      <c r="N670" s="211"/>
      <c r="O670" s="211"/>
      <c r="P670" s="211"/>
      <c r="Q670" s="211"/>
      <c r="R670" s="211"/>
      <c r="S670" s="212">
        <v>3656.6840000000002</v>
      </c>
      <c r="T670" s="37"/>
      <c r="U670" s="1"/>
      <c r="V670" s="6">
        <f t="shared" si="178"/>
        <v>0</v>
      </c>
    </row>
    <row r="671" spans="1:22" s="226" customFormat="1" ht="30">
      <c r="A671" s="204">
        <v>64</v>
      </c>
      <c r="B671" s="205" t="s">
        <v>1108</v>
      </c>
      <c r="C671" s="206" t="s">
        <v>993</v>
      </c>
      <c r="D671" s="206" t="s">
        <v>31</v>
      </c>
      <c r="E671" s="207" t="s">
        <v>1013</v>
      </c>
      <c r="F671" s="208" t="s">
        <v>1238</v>
      </c>
      <c r="G671" s="209">
        <v>2606.2280000000001</v>
      </c>
      <c r="H671" s="209"/>
      <c r="I671" s="209"/>
      <c r="J671" s="209"/>
      <c r="K671" s="209">
        <v>2606.2280000000001</v>
      </c>
      <c r="L671" s="221">
        <v>0</v>
      </c>
      <c r="M671" s="212">
        <f t="shared" si="177"/>
        <v>2192.4900000000002</v>
      </c>
      <c r="N671" s="211"/>
      <c r="O671" s="211"/>
      <c r="P671" s="211"/>
      <c r="Q671" s="211"/>
      <c r="R671" s="211"/>
      <c r="S671" s="212">
        <v>2192.4900000000002</v>
      </c>
      <c r="T671" s="37"/>
      <c r="U671" s="1"/>
      <c r="V671" s="6">
        <f t="shared" si="178"/>
        <v>0</v>
      </c>
    </row>
    <row r="672" spans="1:22" s="226" customFormat="1" ht="30">
      <c r="A672" s="204">
        <v>65</v>
      </c>
      <c r="B672" s="205" t="s">
        <v>1239</v>
      </c>
      <c r="C672" s="206" t="s">
        <v>1010</v>
      </c>
      <c r="D672" s="206" t="s">
        <v>31</v>
      </c>
      <c r="E672" s="225" t="s">
        <v>1013</v>
      </c>
      <c r="F672" s="208" t="s">
        <v>1240</v>
      </c>
      <c r="G672" s="209">
        <v>3608.19</v>
      </c>
      <c r="H672" s="209"/>
      <c r="I672" s="209"/>
      <c r="J672" s="209"/>
      <c r="K672" s="209">
        <v>3608.19</v>
      </c>
      <c r="L672" s="221">
        <v>0</v>
      </c>
      <c r="M672" s="212">
        <f t="shared" si="177"/>
        <v>2622.4160000000002</v>
      </c>
      <c r="N672" s="211"/>
      <c r="O672" s="211"/>
      <c r="P672" s="211"/>
      <c r="Q672" s="211"/>
      <c r="R672" s="211"/>
      <c r="S672" s="212">
        <v>2622.4160000000002</v>
      </c>
      <c r="T672" s="37"/>
      <c r="U672" s="1"/>
      <c r="V672" s="6">
        <f t="shared" si="178"/>
        <v>0</v>
      </c>
    </row>
    <row r="673" spans="1:22" s="226" customFormat="1" ht="30">
      <c r="A673" s="204">
        <v>66</v>
      </c>
      <c r="B673" s="205" t="s">
        <v>1114</v>
      </c>
      <c r="C673" s="206" t="s">
        <v>1008</v>
      </c>
      <c r="D673" s="206" t="s">
        <v>31</v>
      </c>
      <c r="E673" s="225" t="s">
        <v>1013</v>
      </c>
      <c r="F673" s="208" t="s">
        <v>1241</v>
      </c>
      <c r="G673" s="209">
        <v>3025.799</v>
      </c>
      <c r="H673" s="209"/>
      <c r="I673" s="209"/>
      <c r="J673" s="209"/>
      <c r="K673" s="209">
        <v>3025.799</v>
      </c>
      <c r="L673" s="221">
        <v>0</v>
      </c>
      <c r="M673" s="212">
        <f t="shared" si="177"/>
        <v>1499.9470000000001</v>
      </c>
      <c r="N673" s="211"/>
      <c r="O673" s="211"/>
      <c r="P673" s="211"/>
      <c r="Q673" s="211"/>
      <c r="R673" s="211"/>
      <c r="S673" s="212">
        <v>1499.9470000000001</v>
      </c>
      <c r="T673" s="37"/>
      <c r="U673" s="1"/>
      <c r="V673" s="6">
        <f t="shared" si="178"/>
        <v>0</v>
      </c>
    </row>
    <row r="674" spans="1:22" s="226" customFormat="1" ht="30">
      <c r="A674" s="204">
        <v>67</v>
      </c>
      <c r="B674" s="205" t="s">
        <v>1242</v>
      </c>
      <c r="C674" s="206" t="s">
        <v>977</v>
      </c>
      <c r="D674" s="206" t="s">
        <v>31</v>
      </c>
      <c r="E674" s="225" t="s">
        <v>983</v>
      </c>
      <c r="F674" s="208" t="s">
        <v>1243</v>
      </c>
      <c r="G674" s="209">
        <v>2895.8830000000003</v>
      </c>
      <c r="H674" s="209"/>
      <c r="I674" s="209"/>
      <c r="J674" s="209"/>
      <c r="K674" s="209">
        <v>2895.8830000000003</v>
      </c>
      <c r="L674" s="221">
        <v>0</v>
      </c>
      <c r="M674" s="212">
        <f t="shared" si="177"/>
        <v>1500</v>
      </c>
      <c r="N674" s="211"/>
      <c r="O674" s="211"/>
      <c r="P674" s="211"/>
      <c r="Q674" s="211"/>
      <c r="R674" s="211"/>
      <c r="S674" s="212">
        <v>1500</v>
      </c>
      <c r="T674" s="37"/>
      <c r="U674" s="1"/>
      <c r="V674" s="6">
        <f t="shared" si="178"/>
        <v>0</v>
      </c>
    </row>
    <row r="675" spans="1:22" s="226" customFormat="1" ht="30">
      <c r="A675" s="204">
        <v>68</v>
      </c>
      <c r="B675" s="205" t="s">
        <v>1244</v>
      </c>
      <c r="C675" s="206" t="s">
        <v>1151</v>
      </c>
      <c r="D675" s="206" t="s">
        <v>31</v>
      </c>
      <c r="E675" s="207" t="s">
        <v>1013</v>
      </c>
      <c r="F675" s="208" t="s">
        <v>1245</v>
      </c>
      <c r="G675" s="209">
        <v>6568.3469999999998</v>
      </c>
      <c r="H675" s="209"/>
      <c r="I675" s="209"/>
      <c r="J675" s="209"/>
      <c r="K675" s="209">
        <v>6568.3469999999998</v>
      </c>
      <c r="L675" s="221">
        <v>0</v>
      </c>
      <c r="M675" s="212">
        <f t="shared" si="177"/>
        <v>5052.7170000000006</v>
      </c>
      <c r="N675" s="211"/>
      <c r="O675" s="211"/>
      <c r="P675" s="211"/>
      <c r="Q675" s="211"/>
      <c r="R675" s="211"/>
      <c r="S675" s="212">
        <v>5052.7170000000006</v>
      </c>
      <c r="T675" s="37"/>
      <c r="U675" s="1"/>
      <c r="V675" s="6">
        <f t="shared" si="178"/>
        <v>0</v>
      </c>
    </row>
    <row r="676" spans="1:22" s="226" customFormat="1" ht="30">
      <c r="A676" s="204">
        <v>69</v>
      </c>
      <c r="B676" s="205" t="s">
        <v>1246</v>
      </c>
      <c r="C676" s="206" t="s">
        <v>40</v>
      </c>
      <c r="D676" s="206" t="s">
        <v>31</v>
      </c>
      <c r="E676" s="225" t="s">
        <v>988</v>
      </c>
      <c r="F676" s="208" t="s">
        <v>1247</v>
      </c>
      <c r="G676" s="223">
        <v>4799.5940000000001</v>
      </c>
      <c r="H676" s="223"/>
      <c r="I676" s="223"/>
      <c r="J676" s="223"/>
      <c r="K676" s="209">
        <v>4799.5940000000001</v>
      </c>
      <c r="L676" s="221">
        <v>0</v>
      </c>
      <c r="M676" s="212">
        <f t="shared" si="177"/>
        <v>3436.0909999999999</v>
      </c>
      <c r="N676" s="211"/>
      <c r="O676" s="211"/>
      <c r="P676" s="211"/>
      <c r="Q676" s="211"/>
      <c r="R676" s="211"/>
      <c r="S676" s="212">
        <v>3436.0909999999999</v>
      </c>
      <c r="T676" s="37"/>
      <c r="U676" s="1"/>
      <c r="V676" s="6">
        <f t="shared" si="178"/>
        <v>0</v>
      </c>
    </row>
    <row r="677" spans="1:22" s="226" customFormat="1" ht="45">
      <c r="A677" s="204">
        <v>70</v>
      </c>
      <c r="B677" s="205" t="s">
        <v>1118</v>
      </c>
      <c r="C677" s="206" t="s">
        <v>40</v>
      </c>
      <c r="D677" s="206" t="s">
        <v>31</v>
      </c>
      <c r="E677" s="225" t="s">
        <v>1013</v>
      </c>
      <c r="F677" s="208" t="s">
        <v>1248</v>
      </c>
      <c r="G677" s="209">
        <v>4592.6559999999999</v>
      </c>
      <c r="H677" s="209"/>
      <c r="I677" s="209"/>
      <c r="J677" s="209"/>
      <c r="K677" s="209">
        <v>4592.6559999999999</v>
      </c>
      <c r="L677" s="221">
        <v>0</v>
      </c>
      <c r="M677" s="212">
        <f t="shared" si="177"/>
        <v>1800</v>
      </c>
      <c r="N677" s="211"/>
      <c r="O677" s="211"/>
      <c r="P677" s="211"/>
      <c r="Q677" s="211"/>
      <c r="R677" s="211"/>
      <c r="S677" s="212">
        <v>1800</v>
      </c>
      <c r="T677" s="37"/>
      <c r="U677" s="1"/>
      <c r="V677" s="6">
        <f t="shared" si="178"/>
        <v>0</v>
      </c>
    </row>
    <row r="678" spans="1:22" s="226" customFormat="1" ht="30">
      <c r="A678" s="204">
        <v>71</v>
      </c>
      <c r="B678" s="205" t="s">
        <v>1249</v>
      </c>
      <c r="C678" s="206" t="s">
        <v>1072</v>
      </c>
      <c r="D678" s="206" t="s">
        <v>31</v>
      </c>
      <c r="E678" s="225" t="s">
        <v>1013</v>
      </c>
      <c r="F678" s="208" t="s">
        <v>1250</v>
      </c>
      <c r="G678" s="209">
        <v>3788.2359999999999</v>
      </c>
      <c r="H678" s="209"/>
      <c r="I678" s="209"/>
      <c r="J678" s="209"/>
      <c r="K678" s="209">
        <v>3788.2359999999999</v>
      </c>
      <c r="L678" s="221">
        <v>0</v>
      </c>
      <c r="M678" s="212">
        <f t="shared" si="177"/>
        <v>1500</v>
      </c>
      <c r="N678" s="211"/>
      <c r="O678" s="211"/>
      <c r="P678" s="211"/>
      <c r="Q678" s="211"/>
      <c r="R678" s="211"/>
      <c r="S678" s="212">
        <v>1500</v>
      </c>
      <c r="T678" s="37"/>
      <c r="U678" s="1"/>
      <c r="V678" s="6">
        <f t="shared" si="178"/>
        <v>0</v>
      </c>
    </row>
    <row r="679" spans="1:22" s="226" customFormat="1" ht="30">
      <c r="A679" s="204">
        <v>72</v>
      </c>
      <c r="B679" s="205" t="s">
        <v>1094</v>
      </c>
      <c r="C679" s="206" t="s">
        <v>977</v>
      </c>
      <c r="D679" s="206" t="s">
        <v>31</v>
      </c>
      <c r="E679" s="225" t="s">
        <v>969</v>
      </c>
      <c r="F679" s="208" t="s">
        <v>1251</v>
      </c>
      <c r="G679" s="209">
        <v>3318.4569999999999</v>
      </c>
      <c r="H679" s="209"/>
      <c r="I679" s="209"/>
      <c r="J679" s="209"/>
      <c r="K679" s="209">
        <v>3318.4569999999999</v>
      </c>
      <c r="L679" s="221">
        <v>0</v>
      </c>
      <c r="M679" s="212">
        <f t="shared" si="177"/>
        <v>1000</v>
      </c>
      <c r="N679" s="211"/>
      <c r="O679" s="211"/>
      <c r="P679" s="211"/>
      <c r="Q679" s="211"/>
      <c r="R679" s="211"/>
      <c r="S679" s="212">
        <v>1000</v>
      </c>
      <c r="T679" s="37"/>
      <c r="U679" s="1"/>
      <c r="V679" s="6">
        <f t="shared" si="178"/>
        <v>0</v>
      </c>
    </row>
    <row r="680" spans="1:22" s="226" customFormat="1" ht="30">
      <c r="A680" s="204">
        <v>73</v>
      </c>
      <c r="B680" s="205" t="s">
        <v>1096</v>
      </c>
      <c r="C680" s="206" t="s">
        <v>40</v>
      </c>
      <c r="D680" s="206" t="s">
        <v>31</v>
      </c>
      <c r="E680" s="225" t="s">
        <v>969</v>
      </c>
      <c r="F680" s="208" t="s">
        <v>1252</v>
      </c>
      <c r="G680" s="209">
        <v>2915.5309999999999</v>
      </c>
      <c r="H680" s="209"/>
      <c r="I680" s="209"/>
      <c r="J680" s="209"/>
      <c r="K680" s="209">
        <v>2915.5309999999999</v>
      </c>
      <c r="L680" s="221">
        <v>0</v>
      </c>
      <c r="M680" s="212">
        <f t="shared" si="177"/>
        <v>1000</v>
      </c>
      <c r="N680" s="211"/>
      <c r="O680" s="211"/>
      <c r="P680" s="211"/>
      <c r="Q680" s="211"/>
      <c r="R680" s="211"/>
      <c r="S680" s="212">
        <v>1000</v>
      </c>
      <c r="T680" s="37"/>
      <c r="U680" s="1"/>
      <c r="V680" s="6">
        <f t="shared" si="178"/>
        <v>0</v>
      </c>
    </row>
    <row r="681" spans="1:22" s="226" customFormat="1" ht="30">
      <c r="A681" s="204">
        <v>74</v>
      </c>
      <c r="B681" s="205" t="s">
        <v>1098</v>
      </c>
      <c r="C681" s="206" t="s">
        <v>40</v>
      </c>
      <c r="D681" s="206" t="s">
        <v>31</v>
      </c>
      <c r="E681" s="225" t="s">
        <v>969</v>
      </c>
      <c r="F681" s="208" t="s">
        <v>1253</v>
      </c>
      <c r="G681" s="209">
        <v>3918.1570000000002</v>
      </c>
      <c r="H681" s="209"/>
      <c r="I681" s="209"/>
      <c r="J681" s="209"/>
      <c r="K681" s="209">
        <v>3918.1570000000002</v>
      </c>
      <c r="L681" s="221">
        <v>0</v>
      </c>
      <c r="M681" s="212">
        <f t="shared" si="177"/>
        <v>1000</v>
      </c>
      <c r="N681" s="211"/>
      <c r="O681" s="211"/>
      <c r="P681" s="211"/>
      <c r="Q681" s="211"/>
      <c r="R681" s="211"/>
      <c r="S681" s="212">
        <v>1000</v>
      </c>
      <c r="T681" s="37"/>
      <c r="U681" s="1"/>
      <c r="V681" s="6">
        <f t="shared" si="178"/>
        <v>0</v>
      </c>
    </row>
    <row r="682" spans="1:22" s="226" customFormat="1" ht="30">
      <c r="A682" s="204">
        <v>75</v>
      </c>
      <c r="B682" s="205" t="s">
        <v>1124</v>
      </c>
      <c r="C682" s="206" t="s">
        <v>968</v>
      </c>
      <c r="D682" s="206" t="s">
        <v>31</v>
      </c>
      <c r="E682" s="207" t="s">
        <v>988</v>
      </c>
      <c r="F682" s="208"/>
      <c r="G682" s="209">
        <v>4034.991</v>
      </c>
      <c r="H682" s="209"/>
      <c r="I682" s="209"/>
      <c r="J682" s="209"/>
      <c r="K682" s="209">
        <v>4034.991</v>
      </c>
      <c r="L682" s="221">
        <v>0</v>
      </c>
      <c r="M682" s="212">
        <f t="shared" si="177"/>
        <v>3894</v>
      </c>
      <c r="N682" s="211"/>
      <c r="O682" s="211"/>
      <c r="P682" s="211"/>
      <c r="Q682" s="211"/>
      <c r="R682" s="211"/>
      <c r="S682" s="212">
        <v>3894</v>
      </c>
      <c r="T682" s="37"/>
      <c r="U682" s="1"/>
      <c r="V682" s="6">
        <f t="shared" si="178"/>
        <v>0</v>
      </c>
    </row>
    <row r="683" spans="1:22" s="226" customFormat="1" ht="30">
      <c r="A683" s="204">
        <v>76</v>
      </c>
      <c r="B683" s="205" t="s">
        <v>1254</v>
      </c>
      <c r="C683" s="206" t="s">
        <v>1072</v>
      </c>
      <c r="D683" s="206" t="s">
        <v>31</v>
      </c>
      <c r="E683" s="207" t="s">
        <v>1013</v>
      </c>
      <c r="F683" s="208" t="s">
        <v>1255</v>
      </c>
      <c r="G683" s="223">
        <v>1774.4110000000001</v>
      </c>
      <c r="H683" s="223"/>
      <c r="I683" s="223"/>
      <c r="J683" s="223"/>
      <c r="K683" s="209">
        <v>1774.4110000000001</v>
      </c>
      <c r="L683" s="221">
        <v>0</v>
      </c>
      <c r="M683" s="212">
        <f t="shared" si="177"/>
        <v>1687</v>
      </c>
      <c r="N683" s="211"/>
      <c r="O683" s="211"/>
      <c r="P683" s="211"/>
      <c r="Q683" s="211"/>
      <c r="R683" s="211"/>
      <c r="S683" s="212">
        <v>1687</v>
      </c>
      <c r="T683" s="37"/>
      <c r="U683" s="1"/>
      <c r="V683" s="6">
        <f t="shared" si="178"/>
        <v>0</v>
      </c>
    </row>
    <row r="684" spans="1:22" ht="39" customHeight="1">
      <c r="A684" s="468" t="s">
        <v>117</v>
      </c>
      <c r="B684" s="523" t="s">
        <v>1257</v>
      </c>
      <c r="C684" s="533"/>
      <c r="D684" s="533"/>
      <c r="E684" s="533"/>
      <c r="F684" s="534"/>
      <c r="G684" s="534">
        <f>G686</f>
        <v>517282</v>
      </c>
      <c r="H684" s="534"/>
      <c r="I684" s="534"/>
      <c r="J684" s="534"/>
      <c r="K684" s="534">
        <f>K686</f>
        <v>517282</v>
      </c>
      <c r="L684" s="534">
        <f>L686</f>
        <v>0</v>
      </c>
      <c r="M684" s="534">
        <f>M686</f>
        <v>459279</v>
      </c>
      <c r="N684" s="534"/>
      <c r="O684" s="534"/>
      <c r="P684" s="534"/>
      <c r="Q684" s="534"/>
      <c r="R684" s="534"/>
      <c r="S684" s="534">
        <f>S686</f>
        <v>459279</v>
      </c>
      <c r="T684" s="23"/>
      <c r="V684" s="6">
        <f t="shared" si="178"/>
        <v>0</v>
      </c>
    </row>
    <row r="685" spans="1:22" s="224" customFormat="1" ht="24.75" customHeight="1">
      <c r="A685" s="468" t="s">
        <v>37</v>
      </c>
      <c r="B685" s="523" t="s">
        <v>1258</v>
      </c>
      <c r="C685" s="533"/>
      <c r="D685" s="533"/>
      <c r="E685" s="533"/>
      <c r="F685" s="534"/>
      <c r="G685" s="534"/>
      <c r="H685" s="534"/>
      <c r="I685" s="534"/>
      <c r="J685" s="534"/>
      <c r="K685" s="534"/>
      <c r="L685" s="534"/>
      <c r="M685" s="534"/>
      <c r="N685" s="534"/>
      <c r="O685" s="534"/>
      <c r="P685" s="534"/>
      <c r="Q685" s="534"/>
      <c r="R685" s="534"/>
      <c r="S685" s="534"/>
      <c r="T685" s="535"/>
      <c r="V685" s="6">
        <f t="shared" si="178"/>
        <v>0</v>
      </c>
    </row>
    <row r="686" spans="1:22" s="224" customFormat="1" ht="24.75" customHeight="1">
      <c r="A686" s="468" t="s">
        <v>69</v>
      </c>
      <c r="B686" s="523" t="s">
        <v>70</v>
      </c>
      <c r="C686" s="533"/>
      <c r="D686" s="533"/>
      <c r="E686" s="533"/>
      <c r="F686" s="534"/>
      <c r="G686" s="534">
        <f>G687+G692+G696</f>
        <v>517282</v>
      </c>
      <c r="H686" s="534"/>
      <c r="I686" s="534"/>
      <c r="J686" s="534"/>
      <c r="K686" s="534">
        <f t="shared" ref="K686:S686" si="179">K687+K692+K696</f>
        <v>517282</v>
      </c>
      <c r="L686" s="534">
        <f t="shared" si="179"/>
        <v>0</v>
      </c>
      <c r="M686" s="534">
        <f t="shared" si="179"/>
        <v>459279</v>
      </c>
      <c r="N686" s="534"/>
      <c r="O686" s="534"/>
      <c r="P686" s="534"/>
      <c r="Q686" s="534"/>
      <c r="R686" s="534"/>
      <c r="S686" s="534">
        <f t="shared" si="179"/>
        <v>459279</v>
      </c>
      <c r="T686" s="535"/>
      <c r="V686" s="6">
        <f t="shared" si="178"/>
        <v>0</v>
      </c>
    </row>
    <row r="687" spans="1:22" ht="30">
      <c r="A687" s="533" t="s">
        <v>71</v>
      </c>
      <c r="B687" s="232" t="s">
        <v>1259</v>
      </c>
      <c r="C687" s="533"/>
      <c r="D687" s="533"/>
      <c r="E687" s="533"/>
      <c r="F687" s="534"/>
      <c r="G687" s="534">
        <f>SUM(G688:G691)</f>
        <v>80745</v>
      </c>
      <c r="H687" s="534"/>
      <c r="I687" s="534"/>
      <c r="J687" s="534"/>
      <c r="K687" s="534">
        <f>SUM(K688:K691)</f>
        <v>80745</v>
      </c>
      <c r="L687" s="534">
        <f>SUM(L688:L691)</f>
        <v>0</v>
      </c>
      <c r="M687" s="534">
        <f t="shared" ref="M687:M709" si="180">SUM(N687:S687)</f>
        <v>71421</v>
      </c>
      <c r="N687" s="211"/>
      <c r="O687" s="211"/>
      <c r="P687" s="211"/>
      <c r="Q687" s="211"/>
      <c r="R687" s="211"/>
      <c r="S687" s="534">
        <f>SUM(S688:S691)</f>
        <v>71421</v>
      </c>
      <c r="T687" s="23"/>
      <c r="V687" s="6">
        <f t="shared" si="178"/>
        <v>0</v>
      </c>
    </row>
    <row r="688" spans="1:22" ht="30">
      <c r="A688" s="508">
        <v>1</v>
      </c>
      <c r="B688" s="507" t="s">
        <v>1260</v>
      </c>
      <c r="C688" s="508" t="s">
        <v>1261</v>
      </c>
      <c r="D688" s="508" t="s">
        <v>31</v>
      </c>
      <c r="E688" s="508" t="s">
        <v>112</v>
      </c>
      <c r="F688" s="509" t="s">
        <v>1262</v>
      </c>
      <c r="G688" s="260">
        <v>8928</v>
      </c>
      <c r="H688" s="260"/>
      <c r="I688" s="260"/>
      <c r="J688" s="260"/>
      <c r="K688" s="260">
        <v>8928</v>
      </c>
      <c r="L688" s="45">
        <v>0</v>
      </c>
      <c r="M688" s="260">
        <f t="shared" si="180"/>
        <v>8543</v>
      </c>
      <c r="N688" s="211"/>
      <c r="O688" s="211"/>
      <c r="P688" s="211"/>
      <c r="Q688" s="211"/>
      <c r="R688" s="211"/>
      <c r="S688" s="260">
        <v>8543</v>
      </c>
      <c r="T688" s="23"/>
      <c r="V688" s="6">
        <f t="shared" si="178"/>
        <v>0</v>
      </c>
    </row>
    <row r="689" spans="1:22" ht="45">
      <c r="A689" s="508">
        <v>2</v>
      </c>
      <c r="B689" s="507" t="s">
        <v>1263</v>
      </c>
      <c r="C689" s="508" t="s">
        <v>1264</v>
      </c>
      <c r="D689" s="508" t="s">
        <v>31</v>
      </c>
      <c r="E689" s="508" t="s">
        <v>112</v>
      </c>
      <c r="F689" s="509" t="s">
        <v>1265</v>
      </c>
      <c r="G689" s="260">
        <v>11814</v>
      </c>
      <c r="H689" s="260"/>
      <c r="I689" s="260"/>
      <c r="J689" s="260"/>
      <c r="K689" s="260">
        <v>11814</v>
      </c>
      <c r="L689" s="45">
        <v>0</v>
      </c>
      <c r="M689" s="260">
        <f t="shared" si="180"/>
        <v>10917</v>
      </c>
      <c r="N689" s="211"/>
      <c r="O689" s="211"/>
      <c r="P689" s="211"/>
      <c r="Q689" s="211"/>
      <c r="R689" s="211"/>
      <c r="S689" s="260">
        <v>10917</v>
      </c>
      <c r="T689" s="23"/>
      <c r="V689" s="6">
        <f t="shared" si="178"/>
        <v>0</v>
      </c>
    </row>
    <row r="690" spans="1:22" ht="30">
      <c r="A690" s="508">
        <v>3</v>
      </c>
      <c r="B690" s="507" t="s">
        <v>1266</v>
      </c>
      <c r="C690" s="508" t="s">
        <v>1267</v>
      </c>
      <c r="D690" s="508" t="s">
        <v>31</v>
      </c>
      <c r="E690" s="508" t="s">
        <v>1268</v>
      </c>
      <c r="F690" s="509" t="s">
        <v>1269</v>
      </c>
      <c r="G690" s="260">
        <v>4981</v>
      </c>
      <c r="H690" s="260"/>
      <c r="I690" s="260"/>
      <c r="J690" s="260"/>
      <c r="K690" s="260">
        <v>4981</v>
      </c>
      <c r="L690" s="45">
        <v>0</v>
      </c>
      <c r="M690" s="260">
        <f t="shared" si="180"/>
        <v>4747</v>
      </c>
      <c r="N690" s="211"/>
      <c r="O690" s="211"/>
      <c r="P690" s="211"/>
      <c r="Q690" s="211"/>
      <c r="R690" s="211"/>
      <c r="S690" s="260">
        <v>4747</v>
      </c>
      <c r="T690" s="23"/>
      <c r="V690" s="6">
        <f t="shared" si="178"/>
        <v>0</v>
      </c>
    </row>
    <row r="691" spans="1:22" ht="30">
      <c r="A691" s="508">
        <v>4</v>
      </c>
      <c r="B691" s="507" t="s">
        <v>1270</v>
      </c>
      <c r="C691" s="508" t="s">
        <v>1264</v>
      </c>
      <c r="D691" s="508" t="s">
        <v>31</v>
      </c>
      <c r="E691" s="508" t="s">
        <v>109</v>
      </c>
      <c r="F691" s="509" t="s">
        <v>1271</v>
      </c>
      <c r="G691" s="260">
        <v>55022</v>
      </c>
      <c r="H691" s="260"/>
      <c r="I691" s="260"/>
      <c r="J691" s="260"/>
      <c r="K691" s="260">
        <v>55022</v>
      </c>
      <c r="L691" s="45">
        <v>0</v>
      </c>
      <c r="M691" s="260">
        <f t="shared" si="180"/>
        <v>47214</v>
      </c>
      <c r="N691" s="211"/>
      <c r="O691" s="211"/>
      <c r="P691" s="211"/>
      <c r="Q691" s="211"/>
      <c r="R691" s="211"/>
      <c r="S691" s="260">
        <v>47214</v>
      </c>
      <c r="T691" s="23"/>
      <c r="V691" s="6">
        <f t="shared" si="178"/>
        <v>0</v>
      </c>
    </row>
    <row r="692" spans="1:22">
      <c r="A692" s="533" t="s">
        <v>82</v>
      </c>
      <c r="B692" s="536" t="s">
        <v>1272</v>
      </c>
      <c r="C692" s="533"/>
      <c r="D692" s="533"/>
      <c r="E692" s="533"/>
      <c r="F692" s="534"/>
      <c r="G692" s="534">
        <f>SUM(G693:G695)</f>
        <v>291344</v>
      </c>
      <c r="H692" s="534"/>
      <c r="I692" s="534"/>
      <c r="J692" s="534"/>
      <c r="K692" s="534">
        <f>SUM(K693:K695)</f>
        <v>291344</v>
      </c>
      <c r="L692" s="534">
        <f>SUM(L693:L695)</f>
        <v>0</v>
      </c>
      <c r="M692" s="534">
        <f t="shared" si="180"/>
        <v>271142</v>
      </c>
      <c r="N692" s="211"/>
      <c r="O692" s="211"/>
      <c r="P692" s="211"/>
      <c r="Q692" s="211"/>
      <c r="R692" s="211"/>
      <c r="S692" s="534">
        <f>SUM(S693:S695)</f>
        <v>271142</v>
      </c>
      <c r="T692" s="23"/>
      <c r="V692" s="6">
        <f t="shared" si="178"/>
        <v>0</v>
      </c>
    </row>
    <row r="693" spans="1:22" ht="30">
      <c r="A693" s="508">
        <v>1</v>
      </c>
      <c r="B693" s="507" t="s">
        <v>1273</v>
      </c>
      <c r="C693" s="508" t="s">
        <v>1274</v>
      </c>
      <c r="D693" s="508" t="s">
        <v>26</v>
      </c>
      <c r="E693" s="508" t="s">
        <v>149</v>
      </c>
      <c r="F693" s="509" t="s">
        <v>1275</v>
      </c>
      <c r="G693" s="260">
        <v>88389</v>
      </c>
      <c r="H693" s="260"/>
      <c r="I693" s="260"/>
      <c r="J693" s="260"/>
      <c r="K693" s="260">
        <v>88389</v>
      </c>
      <c r="L693" s="45">
        <v>0</v>
      </c>
      <c r="M693" s="260">
        <f t="shared" si="180"/>
        <v>82060</v>
      </c>
      <c r="N693" s="211"/>
      <c r="O693" s="211"/>
      <c r="P693" s="211"/>
      <c r="Q693" s="211"/>
      <c r="R693" s="211"/>
      <c r="S693" s="260">
        <v>82060</v>
      </c>
      <c r="T693" s="23"/>
      <c r="V693" s="6">
        <f t="shared" si="178"/>
        <v>0</v>
      </c>
    </row>
    <row r="694" spans="1:22" ht="30">
      <c r="A694" s="508">
        <v>2</v>
      </c>
      <c r="B694" s="507" t="s">
        <v>1276</v>
      </c>
      <c r="C694" s="508" t="s">
        <v>1277</v>
      </c>
      <c r="D694" s="508" t="s">
        <v>26</v>
      </c>
      <c r="E694" s="508" t="s">
        <v>149</v>
      </c>
      <c r="F694" s="509" t="s">
        <v>1278</v>
      </c>
      <c r="G694" s="260">
        <v>78696</v>
      </c>
      <c r="H694" s="260"/>
      <c r="I694" s="260"/>
      <c r="J694" s="260"/>
      <c r="K694" s="260">
        <v>78696</v>
      </c>
      <c r="L694" s="45">
        <v>0</v>
      </c>
      <c r="M694" s="260">
        <f t="shared" si="180"/>
        <v>72414</v>
      </c>
      <c r="N694" s="211"/>
      <c r="O694" s="211"/>
      <c r="P694" s="211"/>
      <c r="Q694" s="211"/>
      <c r="R694" s="211"/>
      <c r="S694" s="260">
        <v>72414</v>
      </c>
      <c r="T694" s="23"/>
      <c r="V694" s="6">
        <f t="shared" si="178"/>
        <v>0</v>
      </c>
    </row>
    <row r="695" spans="1:22" ht="45">
      <c r="A695" s="508">
        <v>3</v>
      </c>
      <c r="B695" s="507" t="s">
        <v>1279</v>
      </c>
      <c r="C695" s="508" t="s">
        <v>1280</v>
      </c>
      <c r="D695" s="508" t="s">
        <v>26</v>
      </c>
      <c r="E695" s="508" t="s">
        <v>1281</v>
      </c>
      <c r="F695" s="509" t="s">
        <v>1282</v>
      </c>
      <c r="G695" s="260">
        <v>124259</v>
      </c>
      <c r="H695" s="260"/>
      <c r="I695" s="260"/>
      <c r="J695" s="260"/>
      <c r="K695" s="260">
        <v>124259</v>
      </c>
      <c r="L695" s="45">
        <v>0</v>
      </c>
      <c r="M695" s="260">
        <f t="shared" si="180"/>
        <v>116668</v>
      </c>
      <c r="N695" s="211"/>
      <c r="O695" s="211"/>
      <c r="P695" s="211"/>
      <c r="Q695" s="211"/>
      <c r="R695" s="211"/>
      <c r="S695" s="260">
        <v>116668</v>
      </c>
      <c r="T695" s="23"/>
      <c r="V695" s="6">
        <f t="shared" si="178"/>
        <v>0</v>
      </c>
    </row>
    <row r="696" spans="1:22" ht="28.5">
      <c r="A696" s="533" t="s">
        <v>102</v>
      </c>
      <c r="B696" s="537" t="s">
        <v>1158</v>
      </c>
      <c r="C696" s="533"/>
      <c r="D696" s="533"/>
      <c r="E696" s="533"/>
      <c r="F696" s="534"/>
      <c r="G696" s="534">
        <f>SUM(G697:G709)</f>
        <v>145193</v>
      </c>
      <c r="H696" s="534"/>
      <c r="I696" s="534"/>
      <c r="J696" s="534"/>
      <c r="K696" s="534">
        <f>SUM(K697:K709)</f>
        <v>145193</v>
      </c>
      <c r="L696" s="534">
        <f>SUM(L697:L709)</f>
        <v>0</v>
      </c>
      <c r="M696" s="534">
        <f t="shared" si="180"/>
        <v>116716</v>
      </c>
      <c r="N696" s="211"/>
      <c r="O696" s="211"/>
      <c r="P696" s="211"/>
      <c r="Q696" s="211"/>
      <c r="R696" s="211"/>
      <c r="S696" s="534">
        <f>SUM(S697:S709)</f>
        <v>116716</v>
      </c>
      <c r="T696" s="23"/>
      <c r="V696" s="6">
        <f t="shared" si="178"/>
        <v>0</v>
      </c>
    </row>
    <row r="697" spans="1:22" ht="30">
      <c r="A697" s="508">
        <v>1</v>
      </c>
      <c r="B697" s="507" t="s">
        <v>1283</v>
      </c>
      <c r="C697" s="508" t="s">
        <v>1261</v>
      </c>
      <c r="D697" s="508" t="s">
        <v>31</v>
      </c>
      <c r="E697" s="508" t="s">
        <v>1268</v>
      </c>
      <c r="F697" s="509" t="s">
        <v>1284</v>
      </c>
      <c r="G697" s="260">
        <v>9433</v>
      </c>
      <c r="H697" s="260"/>
      <c r="I697" s="260"/>
      <c r="J697" s="260"/>
      <c r="K697" s="260">
        <v>9433</v>
      </c>
      <c r="L697" s="45">
        <v>0</v>
      </c>
      <c r="M697" s="260">
        <f t="shared" si="180"/>
        <v>9117</v>
      </c>
      <c r="N697" s="211"/>
      <c r="O697" s="211"/>
      <c r="P697" s="211"/>
      <c r="Q697" s="211"/>
      <c r="R697" s="211"/>
      <c r="S697" s="260">
        <v>9117</v>
      </c>
      <c r="T697" s="23"/>
      <c r="V697" s="6">
        <f t="shared" si="178"/>
        <v>0</v>
      </c>
    </row>
    <row r="698" spans="1:22" ht="30">
      <c r="A698" s="508">
        <v>2</v>
      </c>
      <c r="B698" s="507" t="s">
        <v>1285</v>
      </c>
      <c r="C698" s="508" t="s">
        <v>1261</v>
      </c>
      <c r="D698" s="508" t="s">
        <v>31</v>
      </c>
      <c r="E698" s="508" t="s">
        <v>1268</v>
      </c>
      <c r="F698" s="509" t="s">
        <v>1286</v>
      </c>
      <c r="G698" s="260">
        <v>7071</v>
      </c>
      <c r="H698" s="260"/>
      <c r="I698" s="260"/>
      <c r="J698" s="260"/>
      <c r="K698" s="260">
        <v>7071</v>
      </c>
      <c r="L698" s="45">
        <v>0</v>
      </c>
      <c r="M698" s="260">
        <f t="shared" si="180"/>
        <v>6606</v>
      </c>
      <c r="N698" s="211"/>
      <c r="O698" s="211"/>
      <c r="P698" s="211"/>
      <c r="Q698" s="211"/>
      <c r="R698" s="211"/>
      <c r="S698" s="260">
        <v>6606</v>
      </c>
      <c r="T698" s="23"/>
      <c r="V698" s="6">
        <f t="shared" si="178"/>
        <v>0</v>
      </c>
    </row>
    <row r="699" spans="1:22" ht="45">
      <c r="A699" s="508">
        <v>3</v>
      </c>
      <c r="B699" s="507" t="s">
        <v>1287</v>
      </c>
      <c r="C699" s="508" t="s">
        <v>1288</v>
      </c>
      <c r="D699" s="508" t="s">
        <v>31</v>
      </c>
      <c r="E699" s="508" t="s">
        <v>1268</v>
      </c>
      <c r="F699" s="509" t="s">
        <v>1289</v>
      </c>
      <c r="G699" s="260">
        <v>11338</v>
      </c>
      <c r="H699" s="260"/>
      <c r="I699" s="260"/>
      <c r="J699" s="260"/>
      <c r="K699" s="260">
        <v>11338</v>
      </c>
      <c r="L699" s="45">
        <v>0</v>
      </c>
      <c r="M699" s="260">
        <f t="shared" si="180"/>
        <v>11073</v>
      </c>
      <c r="N699" s="211"/>
      <c r="O699" s="211"/>
      <c r="P699" s="211"/>
      <c r="Q699" s="211"/>
      <c r="R699" s="211"/>
      <c r="S699" s="260">
        <v>11073</v>
      </c>
      <c r="T699" s="23"/>
      <c r="V699" s="6">
        <f t="shared" si="178"/>
        <v>0</v>
      </c>
    </row>
    <row r="700" spans="1:22" ht="30">
      <c r="A700" s="508">
        <v>4</v>
      </c>
      <c r="B700" s="507" t="s">
        <v>1290</v>
      </c>
      <c r="C700" s="508" t="s">
        <v>1291</v>
      </c>
      <c r="D700" s="508" t="s">
        <v>31</v>
      </c>
      <c r="E700" s="508" t="s">
        <v>283</v>
      </c>
      <c r="F700" s="509" t="s">
        <v>1292</v>
      </c>
      <c r="G700" s="260">
        <v>32198</v>
      </c>
      <c r="H700" s="260"/>
      <c r="I700" s="260"/>
      <c r="J700" s="260"/>
      <c r="K700" s="260">
        <v>32198</v>
      </c>
      <c r="L700" s="45">
        <v>0</v>
      </c>
      <c r="M700" s="260">
        <f t="shared" si="180"/>
        <v>28425</v>
      </c>
      <c r="N700" s="211"/>
      <c r="O700" s="211"/>
      <c r="P700" s="211"/>
      <c r="Q700" s="211"/>
      <c r="R700" s="211"/>
      <c r="S700" s="260">
        <v>28425</v>
      </c>
      <c r="T700" s="23"/>
      <c r="V700" s="6">
        <f t="shared" si="178"/>
        <v>0</v>
      </c>
    </row>
    <row r="701" spans="1:22" ht="45">
      <c r="A701" s="508">
        <v>5</v>
      </c>
      <c r="B701" s="507" t="s">
        <v>1293</v>
      </c>
      <c r="C701" s="508" t="s">
        <v>1294</v>
      </c>
      <c r="D701" s="508" t="s">
        <v>31</v>
      </c>
      <c r="E701" s="508" t="s">
        <v>1268</v>
      </c>
      <c r="F701" s="509" t="s">
        <v>1295</v>
      </c>
      <c r="G701" s="260">
        <v>11732</v>
      </c>
      <c r="H701" s="260"/>
      <c r="I701" s="260"/>
      <c r="J701" s="260"/>
      <c r="K701" s="260">
        <v>11732</v>
      </c>
      <c r="L701" s="45">
        <v>0</v>
      </c>
      <c r="M701" s="260">
        <f t="shared" si="180"/>
        <v>9770</v>
      </c>
      <c r="N701" s="211"/>
      <c r="O701" s="211"/>
      <c r="P701" s="211"/>
      <c r="Q701" s="211"/>
      <c r="R701" s="211"/>
      <c r="S701" s="260">
        <v>9770</v>
      </c>
      <c r="T701" s="23"/>
      <c r="V701" s="6">
        <f t="shared" si="178"/>
        <v>0</v>
      </c>
    </row>
    <row r="702" spans="1:22" ht="45">
      <c r="A702" s="508">
        <v>6</v>
      </c>
      <c r="B702" s="507" t="s">
        <v>1296</v>
      </c>
      <c r="C702" s="508" t="s">
        <v>1294</v>
      </c>
      <c r="D702" s="508" t="s">
        <v>31</v>
      </c>
      <c r="E702" s="508" t="s">
        <v>1268</v>
      </c>
      <c r="F702" s="509" t="s">
        <v>1297</v>
      </c>
      <c r="G702" s="260">
        <v>8566</v>
      </c>
      <c r="H702" s="260"/>
      <c r="I702" s="260"/>
      <c r="J702" s="260"/>
      <c r="K702" s="260">
        <v>8566</v>
      </c>
      <c r="L702" s="45">
        <v>0</v>
      </c>
      <c r="M702" s="260">
        <f t="shared" si="180"/>
        <v>8400</v>
      </c>
      <c r="N702" s="211"/>
      <c r="O702" s="211"/>
      <c r="P702" s="211"/>
      <c r="Q702" s="211"/>
      <c r="R702" s="211"/>
      <c r="S702" s="260">
        <v>8400</v>
      </c>
      <c r="T702" s="23"/>
      <c r="V702" s="6">
        <f t="shared" si="178"/>
        <v>0</v>
      </c>
    </row>
    <row r="703" spans="1:22" ht="30">
      <c r="A703" s="508">
        <v>7</v>
      </c>
      <c r="B703" s="507" t="s">
        <v>1298</v>
      </c>
      <c r="C703" s="508" t="s">
        <v>1299</v>
      </c>
      <c r="D703" s="508" t="s">
        <v>31</v>
      </c>
      <c r="E703" s="508" t="s">
        <v>1268</v>
      </c>
      <c r="F703" s="509" t="s">
        <v>1300</v>
      </c>
      <c r="G703" s="260">
        <v>8438</v>
      </c>
      <c r="H703" s="260"/>
      <c r="I703" s="260"/>
      <c r="J703" s="260"/>
      <c r="K703" s="260">
        <v>8438</v>
      </c>
      <c r="L703" s="45">
        <v>0</v>
      </c>
      <c r="M703" s="260">
        <f t="shared" si="180"/>
        <v>7144</v>
      </c>
      <c r="N703" s="211"/>
      <c r="O703" s="211"/>
      <c r="P703" s="211"/>
      <c r="Q703" s="211"/>
      <c r="R703" s="211"/>
      <c r="S703" s="260">
        <v>7144</v>
      </c>
      <c r="T703" s="23"/>
      <c r="V703" s="6">
        <f t="shared" si="178"/>
        <v>0</v>
      </c>
    </row>
    <row r="704" spans="1:22" ht="30">
      <c r="A704" s="508">
        <v>8</v>
      </c>
      <c r="B704" s="507" t="s">
        <v>1301</v>
      </c>
      <c r="C704" s="508" t="s">
        <v>1302</v>
      </c>
      <c r="D704" s="508" t="s">
        <v>31</v>
      </c>
      <c r="E704" s="508" t="s">
        <v>1268</v>
      </c>
      <c r="F704" s="509" t="s">
        <v>1303</v>
      </c>
      <c r="G704" s="260">
        <v>9678</v>
      </c>
      <c r="H704" s="260"/>
      <c r="I704" s="260"/>
      <c r="J704" s="260"/>
      <c r="K704" s="260">
        <v>9678</v>
      </c>
      <c r="L704" s="45">
        <v>0</v>
      </c>
      <c r="M704" s="260">
        <f t="shared" si="180"/>
        <v>9372</v>
      </c>
      <c r="N704" s="211"/>
      <c r="O704" s="211"/>
      <c r="P704" s="211"/>
      <c r="Q704" s="211"/>
      <c r="R704" s="211"/>
      <c r="S704" s="260">
        <v>9372</v>
      </c>
      <c r="T704" s="23"/>
      <c r="V704" s="6">
        <f t="shared" si="178"/>
        <v>0</v>
      </c>
    </row>
    <row r="705" spans="1:22" ht="30">
      <c r="A705" s="508">
        <v>9</v>
      </c>
      <c r="B705" s="507" t="s">
        <v>1304</v>
      </c>
      <c r="C705" s="508" t="s">
        <v>1267</v>
      </c>
      <c r="D705" s="508" t="s">
        <v>31</v>
      </c>
      <c r="E705" s="508" t="s">
        <v>1268</v>
      </c>
      <c r="F705" s="509" t="s">
        <v>1305</v>
      </c>
      <c r="G705" s="260">
        <v>29061</v>
      </c>
      <c r="H705" s="260"/>
      <c r="I705" s="260"/>
      <c r="J705" s="260"/>
      <c r="K705" s="260">
        <v>29061</v>
      </c>
      <c r="L705" s="45">
        <v>0</v>
      </c>
      <c r="M705" s="260">
        <f t="shared" si="180"/>
        <v>13532</v>
      </c>
      <c r="N705" s="211"/>
      <c r="O705" s="211"/>
      <c r="P705" s="211"/>
      <c r="Q705" s="211"/>
      <c r="R705" s="211"/>
      <c r="S705" s="260">
        <v>13532</v>
      </c>
      <c r="T705" s="23"/>
      <c r="V705" s="6">
        <f t="shared" si="178"/>
        <v>0</v>
      </c>
    </row>
    <row r="706" spans="1:22" ht="45">
      <c r="A706" s="508">
        <v>10</v>
      </c>
      <c r="B706" s="507" t="s">
        <v>1306</v>
      </c>
      <c r="C706" s="508" t="s">
        <v>1261</v>
      </c>
      <c r="D706" s="508" t="s">
        <v>31</v>
      </c>
      <c r="E706" s="508" t="s">
        <v>1268</v>
      </c>
      <c r="F706" s="509" t="s">
        <v>1307</v>
      </c>
      <c r="G706" s="260">
        <v>7929</v>
      </c>
      <c r="H706" s="260"/>
      <c r="I706" s="260"/>
      <c r="J706" s="260"/>
      <c r="K706" s="260">
        <v>7929</v>
      </c>
      <c r="L706" s="45">
        <v>0</v>
      </c>
      <c r="M706" s="260">
        <f t="shared" si="180"/>
        <v>7633</v>
      </c>
      <c r="N706" s="211"/>
      <c r="O706" s="211"/>
      <c r="P706" s="211"/>
      <c r="Q706" s="211"/>
      <c r="R706" s="211"/>
      <c r="S706" s="260">
        <v>7633</v>
      </c>
      <c r="T706" s="23"/>
      <c r="V706" s="6">
        <f t="shared" si="178"/>
        <v>0</v>
      </c>
    </row>
    <row r="707" spans="1:22" ht="45">
      <c r="A707" s="508">
        <v>11</v>
      </c>
      <c r="B707" s="507" t="s">
        <v>1308</v>
      </c>
      <c r="C707" s="508" t="s">
        <v>1261</v>
      </c>
      <c r="D707" s="508" t="s">
        <v>31</v>
      </c>
      <c r="E707" s="508" t="s">
        <v>1268</v>
      </c>
      <c r="F707" s="509" t="s">
        <v>1309</v>
      </c>
      <c r="G707" s="260">
        <v>1058</v>
      </c>
      <c r="H707" s="260"/>
      <c r="I707" s="260"/>
      <c r="J707" s="260"/>
      <c r="K707" s="260">
        <v>1058</v>
      </c>
      <c r="L707" s="45">
        <v>0</v>
      </c>
      <c r="M707" s="260">
        <f t="shared" si="180"/>
        <v>1021</v>
      </c>
      <c r="N707" s="211"/>
      <c r="O707" s="211"/>
      <c r="P707" s="211"/>
      <c r="Q707" s="211"/>
      <c r="R707" s="211"/>
      <c r="S707" s="260">
        <v>1021</v>
      </c>
      <c r="T707" s="23"/>
      <c r="V707" s="6">
        <f t="shared" si="178"/>
        <v>0</v>
      </c>
    </row>
    <row r="708" spans="1:22" ht="60">
      <c r="A708" s="508">
        <v>12</v>
      </c>
      <c r="B708" s="507" t="s">
        <v>1310</v>
      </c>
      <c r="C708" s="508" t="s">
        <v>1311</v>
      </c>
      <c r="D708" s="508" t="s">
        <v>31</v>
      </c>
      <c r="E708" s="508" t="s">
        <v>1268</v>
      </c>
      <c r="F708" s="509" t="s">
        <v>1312</v>
      </c>
      <c r="G708" s="260">
        <v>7134</v>
      </c>
      <c r="H708" s="260"/>
      <c r="I708" s="260"/>
      <c r="J708" s="260"/>
      <c r="K708" s="260">
        <v>7134</v>
      </c>
      <c r="L708" s="45">
        <v>0</v>
      </c>
      <c r="M708" s="260">
        <f t="shared" si="180"/>
        <v>4162</v>
      </c>
      <c r="N708" s="211"/>
      <c r="O708" s="211"/>
      <c r="P708" s="211"/>
      <c r="Q708" s="211"/>
      <c r="R708" s="211"/>
      <c r="S708" s="260">
        <v>4162</v>
      </c>
      <c r="T708" s="23"/>
      <c r="V708" s="6">
        <f t="shared" si="178"/>
        <v>0</v>
      </c>
    </row>
    <row r="709" spans="1:22" ht="45">
      <c r="A709" s="508">
        <v>13</v>
      </c>
      <c r="B709" s="507" t="s">
        <v>1313</v>
      </c>
      <c r="C709" s="508" t="s">
        <v>1261</v>
      </c>
      <c r="D709" s="508" t="s">
        <v>31</v>
      </c>
      <c r="E709" s="508" t="s">
        <v>1314</v>
      </c>
      <c r="F709" s="509" t="s">
        <v>1315</v>
      </c>
      <c r="G709" s="510">
        <v>1557</v>
      </c>
      <c r="H709" s="511"/>
      <c r="I709" s="511"/>
      <c r="J709" s="511"/>
      <c r="K709" s="511">
        <v>1557</v>
      </c>
      <c r="L709" s="45">
        <v>0</v>
      </c>
      <c r="M709" s="260">
        <f t="shared" si="180"/>
        <v>461</v>
      </c>
      <c r="N709" s="211"/>
      <c r="O709" s="211"/>
      <c r="P709" s="211"/>
      <c r="Q709" s="211"/>
      <c r="R709" s="211"/>
      <c r="S709" s="260">
        <v>461</v>
      </c>
      <c r="T709" s="23"/>
      <c r="V709" s="6">
        <f t="shared" si="178"/>
        <v>0</v>
      </c>
    </row>
    <row r="710" spans="1:22" s="224" customFormat="1" ht="39" customHeight="1">
      <c r="A710" s="468" t="s">
        <v>300</v>
      </c>
      <c r="B710" s="538" t="s">
        <v>1318</v>
      </c>
      <c r="C710" s="248"/>
      <c r="D710" s="248"/>
      <c r="E710" s="248"/>
      <c r="F710" s="539"/>
      <c r="G710" s="540">
        <f>G711+G712</f>
        <v>700477</v>
      </c>
      <c r="H710" s="540">
        <f t="shared" ref="H710:S710" si="181">H711+H712</f>
        <v>0</v>
      </c>
      <c r="I710" s="540">
        <f t="shared" si="181"/>
        <v>0</v>
      </c>
      <c r="J710" s="540">
        <f t="shared" si="181"/>
        <v>0</v>
      </c>
      <c r="K710" s="540">
        <f t="shared" si="181"/>
        <v>700477</v>
      </c>
      <c r="L710" s="540">
        <f t="shared" si="181"/>
        <v>810</v>
      </c>
      <c r="M710" s="540">
        <f t="shared" si="181"/>
        <v>500802</v>
      </c>
      <c r="N710" s="541">
        <f t="shared" si="181"/>
        <v>0</v>
      </c>
      <c r="O710" s="541">
        <f t="shared" si="181"/>
        <v>0</v>
      </c>
      <c r="P710" s="541">
        <f t="shared" si="181"/>
        <v>0</v>
      </c>
      <c r="Q710" s="541">
        <f t="shared" si="181"/>
        <v>0</v>
      </c>
      <c r="R710" s="541">
        <f t="shared" si="181"/>
        <v>0</v>
      </c>
      <c r="S710" s="540">
        <f t="shared" si="181"/>
        <v>500802</v>
      </c>
      <c r="T710" s="535"/>
      <c r="V710" s="6">
        <f t="shared" si="178"/>
        <v>0</v>
      </c>
    </row>
    <row r="711" spans="1:22" s="224" customFormat="1" ht="24.75" customHeight="1">
      <c r="A711" s="468" t="s">
        <v>37</v>
      </c>
      <c r="B711" s="523" t="s">
        <v>1258</v>
      </c>
      <c r="C711" s="533"/>
      <c r="D711" s="533"/>
      <c r="E711" s="533"/>
      <c r="F711" s="534"/>
      <c r="G711" s="534"/>
      <c r="H711" s="534"/>
      <c r="I711" s="534"/>
      <c r="J711" s="534"/>
      <c r="K711" s="534"/>
      <c r="L711" s="534"/>
      <c r="M711" s="534"/>
      <c r="N711" s="534"/>
      <c r="O711" s="534"/>
      <c r="P711" s="534"/>
      <c r="Q711" s="534"/>
      <c r="R711" s="534"/>
      <c r="S711" s="534"/>
      <c r="T711" s="535"/>
      <c r="V711" s="6">
        <f t="shared" si="178"/>
        <v>0</v>
      </c>
    </row>
    <row r="712" spans="1:22" s="224" customFormat="1" ht="24.75" customHeight="1">
      <c r="A712" s="468" t="s">
        <v>69</v>
      </c>
      <c r="B712" s="523" t="s">
        <v>871</v>
      </c>
      <c r="C712" s="533"/>
      <c r="D712" s="533"/>
      <c r="E712" s="533"/>
      <c r="F712" s="534"/>
      <c r="G712" s="534">
        <f>G713+G714+G715</f>
        <v>700477</v>
      </c>
      <c r="H712" s="534">
        <f t="shared" ref="H712:S712" si="182">H713+H714+H715</f>
        <v>0</v>
      </c>
      <c r="I712" s="534">
        <f t="shared" si="182"/>
        <v>0</v>
      </c>
      <c r="J712" s="534">
        <f t="shared" si="182"/>
        <v>0</v>
      </c>
      <c r="K712" s="534">
        <f t="shared" si="182"/>
        <v>700477</v>
      </c>
      <c r="L712" s="534">
        <f t="shared" si="182"/>
        <v>810</v>
      </c>
      <c r="M712" s="534">
        <f t="shared" si="182"/>
        <v>500802</v>
      </c>
      <c r="N712" s="534"/>
      <c r="O712" s="534"/>
      <c r="P712" s="534"/>
      <c r="Q712" s="534"/>
      <c r="R712" s="534"/>
      <c r="S712" s="534">
        <f t="shared" si="182"/>
        <v>500802</v>
      </c>
      <c r="T712" s="535"/>
      <c r="V712" s="6">
        <f t="shared" si="178"/>
        <v>0</v>
      </c>
    </row>
    <row r="713" spans="1:22" ht="30">
      <c r="A713" s="247" t="s">
        <v>71</v>
      </c>
      <c r="B713" s="232" t="s">
        <v>1259</v>
      </c>
      <c r="C713" s="253"/>
      <c r="D713" s="17"/>
      <c r="E713" s="211"/>
      <c r="F713" s="541"/>
      <c r="G713" s="540"/>
      <c r="H713" s="542"/>
      <c r="I713" s="542"/>
      <c r="J713" s="542"/>
      <c r="K713" s="542"/>
      <c r="L713" s="542"/>
      <c r="M713" s="540">
        <f t="shared" ref="M713:M753" si="183">SUM(N713:S713)</f>
        <v>0</v>
      </c>
      <c r="N713" s="211"/>
      <c r="O713" s="211"/>
      <c r="P713" s="211"/>
      <c r="Q713" s="211"/>
      <c r="R713" s="211"/>
      <c r="S713" s="540"/>
      <c r="T713" s="23"/>
      <c r="V713" s="6">
        <f t="shared" si="178"/>
        <v>0</v>
      </c>
    </row>
    <row r="714" spans="1:22">
      <c r="A714" s="248" t="s">
        <v>82</v>
      </c>
      <c r="B714" s="232" t="s">
        <v>1272</v>
      </c>
      <c r="C714" s="177"/>
      <c r="D714" s="15"/>
      <c r="E714" s="15"/>
      <c r="F714" s="509"/>
      <c r="G714" s="260"/>
      <c r="H714" s="260"/>
      <c r="I714" s="260"/>
      <c r="J714" s="260"/>
      <c r="K714" s="254"/>
      <c r="L714" s="542"/>
      <c r="M714" s="540">
        <f t="shared" si="183"/>
        <v>0</v>
      </c>
      <c r="N714" s="211"/>
      <c r="O714" s="211"/>
      <c r="P714" s="211"/>
      <c r="Q714" s="211"/>
      <c r="R714" s="211"/>
      <c r="S714" s="540"/>
      <c r="T714" s="23"/>
      <c r="V714" s="6">
        <f t="shared" si="178"/>
        <v>0</v>
      </c>
    </row>
    <row r="715" spans="1:22" ht="30">
      <c r="A715" s="248" t="s">
        <v>102</v>
      </c>
      <c r="B715" s="232" t="s">
        <v>1158</v>
      </c>
      <c r="C715" s="253"/>
      <c r="D715" s="17"/>
      <c r="E715" s="521"/>
      <c r="F715" s="541"/>
      <c r="G715" s="540">
        <f t="shared" ref="G715:K715" si="184">SUM(G716:G753)</f>
        <v>700477</v>
      </c>
      <c r="H715" s="540">
        <f t="shared" si="184"/>
        <v>0</v>
      </c>
      <c r="I715" s="540">
        <f t="shared" si="184"/>
        <v>0</v>
      </c>
      <c r="J715" s="540">
        <f t="shared" si="184"/>
        <v>0</v>
      </c>
      <c r="K715" s="540">
        <f t="shared" si="184"/>
        <v>700477</v>
      </c>
      <c r="L715" s="540">
        <f>SUM(L716:L753)</f>
        <v>810</v>
      </c>
      <c r="M715" s="540">
        <f t="shared" ref="M715:S715" si="185">SUM(M716:M753)</f>
        <v>500802</v>
      </c>
      <c r="N715" s="541">
        <f t="shared" si="185"/>
        <v>0</v>
      </c>
      <c r="O715" s="541">
        <f t="shared" si="185"/>
        <v>0</v>
      </c>
      <c r="P715" s="541">
        <f t="shared" si="185"/>
        <v>0</v>
      </c>
      <c r="Q715" s="541">
        <f t="shared" si="185"/>
        <v>0</v>
      </c>
      <c r="R715" s="541">
        <f t="shared" si="185"/>
        <v>0</v>
      </c>
      <c r="S715" s="540">
        <f t="shared" si="185"/>
        <v>500802</v>
      </c>
      <c r="T715" s="23"/>
      <c r="V715" s="6">
        <f t="shared" si="178"/>
        <v>0</v>
      </c>
    </row>
    <row r="716" spans="1:22" ht="30">
      <c r="A716" s="15">
        <v>1</v>
      </c>
      <c r="B716" s="177" t="s">
        <v>1319</v>
      </c>
      <c r="C716" s="15" t="s">
        <v>1320</v>
      </c>
      <c r="D716" s="15" t="s">
        <v>31</v>
      </c>
      <c r="E716" s="15" t="s">
        <v>283</v>
      </c>
      <c r="F716" s="15" t="s">
        <v>1321</v>
      </c>
      <c r="G716" s="265">
        <f t="shared" ref="G716:G753" si="186">K716</f>
        <v>20641</v>
      </c>
      <c r="H716" s="265"/>
      <c r="I716" s="265"/>
      <c r="J716" s="265"/>
      <c r="K716" s="543">
        <v>20641</v>
      </c>
      <c r="L716" s="177"/>
      <c r="M716" s="512">
        <f t="shared" si="183"/>
        <v>16801</v>
      </c>
      <c r="N716" s="211"/>
      <c r="O716" s="211"/>
      <c r="P716" s="211"/>
      <c r="Q716" s="211"/>
      <c r="R716" s="211"/>
      <c r="S716" s="512">
        <v>16801</v>
      </c>
      <c r="T716" s="23"/>
      <c r="V716" s="6">
        <f t="shared" si="178"/>
        <v>0</v>
      </c>
    </row>
    <row r="717" spans="1:22" ht="30">
      <c r="A717" s="15">
        <v>2</v>
      </c>
      <c r="B717" s="177" t="s">
        <v>1322</v>
      </c>
      <c r="C717" s="15" t="s">
        <v>1323</v>
      </c>
      <c r="D717" s="15" t="s">
        <v>31</v>
      </c>
      <c r="E717" s="15" t="s">
        <v>112</v>
      </c>
      <c r="F717" s="15" t="s">
        <v>1324</v>
      </c>
      <c r="G717" s="265">
        <f t="shared" si="186"/>
        <v>44720</v>
      </c>
      <c r="H717" s="265"/>
      <c r="I717" s="265"/>
      <c r="J717" s="265"/>
      <c r="K717" s="543">
        <v>44720</v>
      </c>
      <c r="L717" s="177"/>
      <c r="M717" s="512">
        <f t="shared" si="183"/>
        <v>24846</v>
      </c>
      <c r="N717" s="211"/>
      <c r="O717" s="211"/>
      <c r="P717" s="211"/>
      <c r="Q717" s="211"/>
      <c r="R717" s="211"/>
      <c r="S717" s="512">
        <v>24846</v>
      </c>
      <c r="T717" s="23"/>
      <c r="V717" s="6">
        <f t="shared" si="178"/>
        <v>0</v>
      </c>
    </row>
    <row r="718" spans="1:22" ht="45">
      <c r="A718" s="15">
        <v>3</v>
      </c>
      <c r="B718" s="177" t="s">
        <v>1325</v>
      </c>
      <c r="C718" s="15" t="s">
        <v>1326</v>
      </c>
      <c r="D718" s="15" t="s">
        <v>31</v>
      </c>
      <c r="E718" s="15" t="s">
        <v>166</v>
      </c>
      <c r="F718" s="15" t="s">
        <v>1327</v>
      </c>
      <c r="G718" s="265">
        <f t="shared" si="186"/>
        <v>26658</v>
      </c>
      <c r="H718" s="265"/>
      <c r="I718" s="265"/>
      <c r="J718" s="265"/>
      <c r="K718" s="543">
        <v>26658</v>
      </c>
      <c r="L718" s="177"/>
      <c r="M718" s="512">
        <f t="shared" si="183"/>
        <v>20899</v>
      </c>
      <c r="N718" s="211"/>
      <c r="O718" s="211"/>
      <c r="P718" s="211"/>
      <c r="Q718" s="211"/>
      <c r="R718" s="211"/>
      <c r="S718" s="512">
        <v>20899</v>
      </c>
      <c r="T718" s="23"/>
      <c r="V718" s="6">
        <f t="shared" si="178"/>
        <v>0</v>
      </c>
    </row>
    <row r="719" spans="1:22" ht="30">
      <c r="A719" s="15">
        <v>4</v>
      </c>
      <c r="B719" s="177" t="s">
        <v>1328</v>
      </c>
      <c r="C719" s="15" t="s">
        <v>1329</v>
      </c>
      <c r="D719" s="15" t="s">
        <v>31</v>
      </c>
      <c r="E719" s="15" t="s">
        <v>112</v>
      </c>
      <c r="F719" s="15" t="s">
        <v>1330</v>
      </c>
      <c r="G719" s="265">
        <f t="shared" si="186"/>
        <v>29904</v>
      </c>
      <c r="H719" s="265"/>
      <c r="I719" s="265"/>
      <c r="J719" s="265"/>
      <c r="K719" s="543">
        <v>29904</v>
      </c>
      <c r="L719" s="177"/>
      <c r="M719" s="512">
        <f t="shared" si="183"/>
        <v>26800</v>
      </c>
      <c r="N719" s="211"/>
      <c r="O719" s="211"/>
      <c r="P719" s="211"/>
      <c r="Q719" s="211"/>
      <c r="R719" s="211"/>
      <c r="S719" s="512">
        <v>26800</v>
      </c>
      <c r="T719" s="23"/>
      <c r="V719" s="6">
        <f t="shared" si="178"/>
        <v>0</v>
      </c>
    </row>
    <row r="720" spans="1:22" ht="45">
      <c r="A720" s="15">
        <v>5</v>
      </c>
      <c r="B720" s="177" t="s">
        <v>1331</v>
      </c>
      <c r="C720" s="15" t="s">
        <v>1323</v>
      </c>
      <c r="D720" s="15" t="s">
        <v>31</v>
      </c>
      <c r="E720" s="521" t="s">
        <v>414</v>
      </c>
      <c r="F720" s="544" t="s">
        <v>1332</v>
      </c>
      <c r="G720" s="265">
        <v>22591</v>
      </c>
      <c r="H720" s="265"/>
      <c r="I720" s="265"/>
      <c r="J720" s="265"/>
      <c r="K720" s="265">
        <v>22591</v>
      </c>
      <c r="L720" s="177"/>
      <c r="M720" s="512">
        <f t="shared" si="183"/>
        <v>14555</v>
      </c>
      <c r="N720" s="211"/>
      <c r="O720" s="211"/>
      <c r="P720" s="211"/>
      <c r="Q720" s="211"/>
      <c r="R720" s="211"/>
      <c r="S720" s="512">
        <v>14555</v>
      </c>
      <c r="T720" s="23"/>
      <c r="V720" s="6">
        <f t="shared" si="178"/>
        <v>0</v>
      </c>
    </row>
    <row r="721" spans="1:22" ht="45">
      <c r="A721" s="15">
        <v>6</v>
      </c>
      <c r="B721" s="177" t="s">
        <v>1333</v>
      </c>
      <c r="C721" s="15" t="s">
        <v>1334</v>
      </c>
      <c r="D721" s="15" t="s">
        <v>31</v>
      </c>
      <c r="E721" s="521" t="s">
        <v>414</v>
      </c>
      <c r="F721" s="15" t="s">
        <v>1335</v>
      </c>
      <c r="G721" s="265">
        <f t="shared" si="186"/>
        <v>12511</v>
      </c>
      <c r="H721" s="265"/>
      <c r="I721" s="265"/>
      <c r="J721" s="265"/>
      <c r="K721" s="261">
        <v>12511</v>
      </c>
      <c r="L721" s="177"/>
      <c r="M721" s="512">
        <f t="shared" si="183"/>
        <v>11250</v>
      </c>
      <c r="N721" s="211"/>
      <c r="O721" s="211"/>
      <c r="P721" s="211"/>
      <c r="Q721" s="211"/>
      <c r="R721" s="211"/>
      <c r="S721" s="512">
        <v>11250</v>
      </c>
      <c r="T721" s="23"/>
      <c r="V721" s="6">
        <f t="shared" si="178"/>
        <v>0</v>
      </c>
    </row>
    <row r="722" spans="1:22" ht="45">
      <c r="A722" s="15">
        <v>7</v>
      </c>
      <c r="B722" s="177" t="s">
        <v>1336</v>
      </c>
      <c r="C722" s="15" t="s">
        <v>1337</v>
      </c>
      <c r="D722" s="15" t="s">
        <v>31</v>
      </c>
      <c r="E722" s="521" t="s">
        <v>1268</v>
      </c>
      <c r="F722" s="15" t="s">
        <v>1338</v>
      </c>
      <c r="G722" s="265">
        <f t="shared" si="186"/>
        <v>8250</v>
      </c>
      <c r="H722" s="265"/>
      <c r="I722" s="265"/>
      <c r="J722" s="265"/>
      <c r="K722" s="261">
        <v>8250</v>
      </c>
      <c r="L722" s="177"/>
      <c r="M722" s="512">
        <f t="shared" si="183"/>
        <v>10218</v>
      </c>
      <c r="N722" s="211"/>
      <c r="O722" s="211"/>
      <c r="P722" s="211"/>
      <c r="Q722" s="211"/>
      <c r="R722" s="211"/>
      <c r="S722" s="512">
        <v>10218</v>
      </c>
      <c r="T722" s="23"/>
      <c r="V722" s="6">
        <f t="shared" si="178"/>
        <v>0</v>
      </c>
    </row>
    <row r="723" spans="1:22" ht="30">
      <c r="A723" s="15">
        <v>8</v>
      </c>
      <c r="B723" s="177" t="s">
        <v>1339</v>
      </c>
      <c r="C723" s="15" t="s">
        <v>1323</v>
      </c>
      <c r="D723" s="15" t="s">
        <v>31</v>
      </c>
      <c r="E723" s="521" t="s">
        <v>414</v>
      </c>
      <c r="F723" s="15" t="s">
        <v>1340</v>
      </c>
      <c r="G723" s="265">
        <v>24013</v>
      </c>
      <c r="H723" s="265"/>
      <c r="I723" s="265"/>
      <c r="J723" s="265"/>
      <c r="K723" s="265">
        <v>24013</v>
      </c>
      <c r="L723" s="177"/>
      <c r="M723" s="512">
        <f t="shared" si="183"/>
        <v>17500</v>
      </c>
      <c r="N723" s="211"/>
      <c r="O723" s="211"/>
      <c r="P723" s="211"/>
      <c r="Q723" s="211"/>
      <c r="R723" s="211"/>
      <c r="S723" s="512">
        <v>17500</v>
      </c>
      <c r="T723" s="23"/>
      <c r="V723" s="6">
        <f t="shared" si="178"/>
        <v>0</v>
      </c>
    </row>
    <row r="724" spans="1:22" ht="30">
      <c r="A724" s="15">
        <v>9</v>
      </c>
      <c r="B724" s="177" t="s">
        <v>1341</v>
      </c>
      <c r="C724" s="15" t="s">
        <v>1320</v>
      </c>
      <c r="D724" s="15" t="s">
        <v>31</v>
      </c>
      <c r="E724" s="521" t="s">
        <v>55</v>
      </c>
      <c r="F724" s="15" t="s">
        <v>1342</v>
      </c>
      <c r="G724" s="265">
        <f t="shared" si="186"/>
        <v>1189</v>
      </c>
      <c r="H724" s="265"/>
      <c r="I724" s="265"/>
      <c r="J724" s="265"/>
      <c r="K724" s="543">
        <v>1189</v>
      </c>
      <c r="L724" s="177"/>
      <c r="M724" s="512">
        <f t="shared" si="183"/>
        <v>1100</v>
      </c>
      <c r="N724" s="211"/>
      <c r="O724" s="211"/>
      <c r="P724" s="211"/>
      <c r="Q724" s="211"/>
      <c r="R724" s="211"/>
      <c r="S724" s="512">
        <v>1100</v>
      </c>
      <c r="T724" s="23"/>
      <c r="V724" s="6">
        <f t="shared" ref="V724:V787" si="187">G724-H724-I724-J724-K724</f>
        <v>0</v>
      </c>
    </row>
    <row r="725" spans="1:22" ht="30">
      <c r="A725" s="15">
        <v>10</v>
      </c>
      <c r="B725" s="177" t="s">
        <v>1343</v>
      </c>
      <c r="C725" s="15" t="s">
        <v>1344</v>
      </c>
      <c r="D725" s="15" t="s">
        <v>31</v>
      </c>
      <c r="E725" s="15" t="s">
        <v>55</v>
      </c>
      <c r="F725" s="15" t="s">
        <v>1345</v>
      </c>
      <c r="G725" s="265">
        <f t="shared" si="186"/>
        <v>4343</v>
      </c>
      <c r="H725" s="265"/>
      <c r="I725" s="265"/>
      <c r="J725" s="265"/>
      <c r="K725" s="265">
        <v>4343</v>
      </c>
      <c r="L725" s="177"/>
      <c r="M725" s="512">
        <f t="shared" si="183"/>
        <v>3900</v>
      </c>
      <c r="N725" s="211"/>
      <c r="O725" s="211"/>
      <c r="P725" s="211"/>
      <c r="Q725" s="211"/>
      <c r="R725" s="211"/>
      <c r="S725" s="512">
        <v>3900</v>
      </c>
      <c r="T725" s="23"/>
      <c r="V725" s="6">
        <f t="shared" si="187"/>
        <v>0</v>
      </c>
    </row>
    <row r="726" spans="1:22" ht="45">
      <c r="A726" s="15">
        <v>11</v>
      </c>
      <c r="B726" s="177" t="s">
        <v>1346</v>
      </c>
      <c r="C726" s="15" t="s">
        <v>1347</v>
      </c>
      <c r="D726" s="15" t="s">
        <v>31</v>
      </c>
      <c r="E726" s="15" t="s">
        <v>283</v>
      </c>
      <c r="F726" s="15" t="s">
        <v>1348</v>
      </c>
      <c r="G726" s="265">
        <f t="shared" si="186"/>
        <v>4834</v>
      </c>
      <c r="H726" s="265"/>
      <c r="I726" s="265"/>
      <c r="J726" s="265"/>
      <c r="K726" s="543">
        <v>4834</v>
      </c>
      <c r="L726" s="177"/>
      <c r="M726" s="512">
        <f t="shared" si="183"/>
        <v>4275</v>
      </c>
      <c r="N726" s="211"/>
      <c r="O726" s="211"/>
      <c r="P726" s="211"/>
      <c r="Q726" s="211"/>
      <c r="R726" s="211"/>
      <c r="S726" s="512">
        <v>4275</v>
      </c>
      <c r="T726" s="23"/>
      <c r="V726" s="6">
        <f t="shared" si="187"/>
        <v>0</v>
      </c>
    </row>
    <row r="727" spans="1:22" ht="30">
      <c r="A727" s="15">
        <v>12</v>
      </c>
      <c r="B727" s="177" t="s">
        <v>1349</v>
      </c>
      <c r="C727" s="15" t="s">
        <v>1323</v>
      </c>
      <c r="D727" s="15" t="s">
        <v>31</v>
      </c>
      <c r="E727" s="15" t="s">
        <v>166</v>
      </c>
      <c r="F727" s="15" t="s">
        <v>1350</v>
      </c>
      <c r="G727" s="265">
        <f t="shared" si="186"/>
        <v>6661</v>
      </c>
      <c r="H727" s="265"/>
      <c r="I727" s="265"/>
      <c r="J727" s="265"/>
      <c r="K727" s="543">
        <v>6661</v>
      </c>
      <c r="L727" s="177"/>
      <c r="M727" s="512">
        <f t="shared" si="183"/>
        <v>5868</v>
      </c>
      <c r="N727" s="211"/>
      <c r="O727" s="211"/>
      <c r="P727" s="211"/>
      <c r="Q727" s="211"/>
      <c r="R727" s="211"/>
      <c r="S727" s="512">
        <v>5868</v>
      </c>
      <c r="T727" s="23"/>
      <c r="V727" s="6">
        <f t="shared" si="187"/>
        <v>0</v>
      </c>
    </row>
    <row r="728" spans="1:22" ht="45">
      <c r="A728" s="15">
        <v>13</v>
      </c>
      <c r="B728" s="177" t="s">
        <v>1351</v>
      </c>
      <c r="C728" s="15" t="s">
        <v>1326</v>
      </c>
      <c r="D728" s="15" t="s">
        <v>31</v>
      </c>
      <c r="E728" s="15" t="s">
        <v>112</v>
      </c>
      <c r="F728" s="15" t="s">
        <v>1352</v>
      </c>
      <c r="G728" s="265">
        <f t="shared" si="186"/>
        <v>4380</v>
      </c>
      <c r="H728" s="265"/>
      <c r="I728" s="265"/>
      <c r="J728" s="265"/>
      <c r="K728" s="543">
        <v>4380</v>
      </c>
      <c r="L728" s="177"/>
      <c r="M728" s="512">
        <f t="shared" si="183"/>
        <v>4099</v>
      </c>
      <c r="N728" s="211"/>
      <c r="O728" s="211"/>
      <c r="P728" s="211"/>
      <c r="Q728" s="211"/>
      <c r="R728" s="211"/>
      <c r="S728" s="512">
        <v>4099</v>
      </c>
      <c r="T728" s="23"/>
      <c r="V728" s="6">
        <f t="shared" si="187"/>
        <v>0</v>
      </c>
    </row>
    <row r="729" spans="1:22" ht="45">
      <c r="A729" s="15">
        <v>14</v>
      </c>
      <c r="B729" s="177" t="s">
        <v>1353</v>
      </c>
      <c r="C729" s="15" t="s">
        <v>1334</v>
      </c>
      <c r="D729" s="15" t="s">
        <v>31</v>
      </c>
      <c r="E729" s="15" t="s">
        <v>283</v>
      </c>
      <c r="F729" s="15" t="s">
        <v>1354</v>
      </c>
      <c r="G729" s="265">
        <f t="shared" si="186"/>
        <v>11755</v>
      </c>
      <c r="H729" s="265"/>
      <c r="I729" s="265"/>
      <c r="J729" s="265"/>
      <c r="K729" s="543">
        <v>11755</v>
      </c>
      <c r="L729" s="177"/>
      <c r="M729" s="512">
        <f t="shared" si="183"/>
        <v>8292</v>
      </c>
      <c r="N729" s="211"/>
      <c r="O729" s="211"/>
      <c r="P729" s="211"/>
      <c r="Q729" s="211"/>
      <c r="R729" s="211"/>
      <c r="S729" s="512">
        <v>8292</v>
      </c>
      <c r="T729" s="23"/>
      <c r="V729" s="6">
        <f t="shared" si="187"/>
        <v>0</v>
      </c>
    </row>
    <row r="730" spans="1:22" ht="30">
      <c r="A730" s="15">
        <v>15</v>
      </c>
      <c r="B730" s="177" t="s">
        <v>1355</v>
      </c>
      <c r="C730" s="15" t="s">
        <v>1323</v>
      </c>
      <c r="D730" s="15" t="s">
        <v>31</v>
      </c>
      <c r="E730" s="15" t="s">
        <v>112</v>
      </c>
      <c r="F730" s="15" t="s">
        <v>1356</v>
      </c>
      <c r="G730" s="265">
        <f t="shared" si="186"/>
        <v>9259</v>
      </c>
      <c r="H730" s="265"/>
      <c r="I730" s="265"/>
      <c r="J730" s="265"/>
      <c r="K730" s="543">
        <v>9259</v>
      </c>
      <c r="L730" s="177"/>
      <c r="M730" s="512">
        <f t="shared" si="183"/>
        <v>7088</v>
      </c>
      <c r="N730" s="211"/>
      <c r="O730" s="211"/>
      <c r="P730" s="211"/>
      <c r="Q730" s="211"/>
      <c r="R730" s="211"/>
      <c r="S730" s="512">
        <v>7088</v>
      </c>
      <c r="T730" s="23"/>
      <c r="V730" s="6">
        <f t="shared" si="187"/>
        <v>0</v>
      </c>
    </row>
    <row r="731" spans="1:22" ht="30">
      <c r="A731" s="15">
        <v>16</v>
      </c>
      <c r="B731" s="177" t="s">
        <v>1357</v>
      </c>
      <c r="C731" s="15" t="s">
        <v>1337</v>
      </c>
      <c r="D731" s="15" t="s">
        <v>31</v>
      </c>
      <c r="E731" s="15" t="s">
        <v>166</v>
      </c>
      <c r="F731" s="15" t="s">
        <v>1358</v>
      </c>
      <c r="G731" s="265">
        <f t="shared" si="186"/>
        <v>7681</v>
      </c>
      <c r="H731" s="265"/>
      <c r="I731" s="265"/>
      <c r="J731" s="265"/>
      <c r="K731" s="543">
        <v>7681</v>
      </c>
      <c r="L731" s="177"/>
      <c r="M731" s="512">
        <f t="shared" si="183"/>
        <v>5129</v>
      </c>
      <c r="N731" s="211"/>
      <c r="O731" s="211"/>
      <c r="P731" s="211"/>
      <c r="Q731" s="211"/>
      <c r="R731" s="211"/>
      <c r="S731" s="512">
        <v>5129</v>
      </c>
      <c r="T731" s="23"/>
      <c r="V731" s="6">
        <f t="shared" si="187"/>
        <v>0</v>
      </c>
    </row>
    <row r="732" spans="1:22" ht="45">
      <c r="A732" s="15">
        <v>17</v>
      </c>
      <c r="B732" s="177" t="s">
        <v>1359</v>
      </c>
      <c r="C732" s="15" t="s">
        <v>1360</v>
      </c>
      <c r="D732" s="15" t="s">
        <v>31</v>
      </c>
      <c r="E732" s="15" t="s">
        <v>55</v>
      </c>
      <c r="F732" s="15" t="s">
        <v>1361</v>
      </c>
      <c r="G732" s="265">
        <f t="shared" si="186"/>
        <v>22103</v>
      </c>
      <c r="H732" s="265"/>
      <c r="I732" s="265"/>
      <c r="J732" s="265"/>
      <c r="K732" s="543">
        <v>22103</v>
      </c>
      <c r="L732" s="177"/>
      <c r="M732" s="512">
        <f t="shared" si="183"/>
        <v>17136</v>
      </c>
      <c r="N732" s="211"/>
      <c r="O732" s="211"/>
      <c r="P732" s="211"/>
      <c r="Q732" s="211"/>
      <c r="R732" s="211"/>
      <c r="S732" s="512">
        <v>17136</v>
      </c>
      <c r="T732" s="23"/>
      <c r="V732" s="6">
        <f t="shared" si="187"/>
        <v>0</v>
      </c>
    </row>
    <row r="733" spans="1:22" ht="45">
      <c r="A733" s="15">
        <v>18</v>
      </c>
      <c r="B733" s="177" t="s">
        <v>1362</v>
      </c>
      <c r="C733" s="15" t="s">
        <v>1323</v>
      </c>
      <c r="D733" s="15" t="s">
        <v>31</v>
      </c>
      <c r="E733" s="15" t="s">
        <v>55</v>
      </c>
      <c r="F733" s="15" t="s">
        <v>1363</v>
      </c>
      <c r="G733" s="265">
        <f t="shared" si="186"/>
        <v>6628</v>
      </c>
      <c r="H733" s="265"/>
      <c r="I733" s="265"/>
      <c r="J733" s="265"/>
      <c r="K733" s="543">
        <v>6628</v>
      </c>
      <c r="L733" s="177"/>
      <c r="M733" s="512">
        <f t="shared" si="183"/>
        <v>6500</v>
      </c>
      <c r="N733" s="211"/>
      <c r="O733" s="211"/>
      <c r="P733" s="211"/>
      <c r="Q733" s="211"/>
      <c r="R733" s="211"/>
      <c r="S733" s="512">
        <v>6500</v>
      </c>
      <c r="T733" s="23"/>
      <c r="V733" s="6">
        <f t="shared" si="187"/>
        <v>0</v>
      </c>
    </row>
    <row r="734" spans="1:22" ht="45">
      <c r="A734" s="15">
        <v>19</v>
      </c>
      <c r="B734" s="177" t="s">
        <v>1364</v>
      </c>
      <c r="C734" s="15" t="s">
        <v>1337</v>
      </c>
      <c r="D734" s="15" t="s">
        <v>31</v>
      </c>
      <c r="E734" s="15" t="s">
        <v>55</v>
      </c>
      <c r="F734" s="15" t="s">
        <v>1365</v>
      </c>
      <c r="G734" s="265">
        <f t="shared" si="186"/>
        <v>12096</v>
      </c>
      <c r="H734" s="265"/>
      <c r="I734" s="265"/>
      <c r="J734" s="265"/>
      <c r="K734" s="543">
        <v>12096</v>
      </c>
      <c r="L734" s="177"/>
      <c r="M734" s="512">
        <f t="shared" si="183"/>
        <v>11500</v>
      </c>
      <c r="N734" s="211"/>
      <c r="O734" s="211"/>
      <c r="P734" s="211"/>
      <c r="Q734" s="211"/>
      <c r="R734" s="211"/>
      <c r="S734" s="512">
        <v>11500</v>
      </c>
      <c r="T734" s="23"/>
      <c r="V734" s="6">
        <f t="shared" si="187"/>
        <v>0</v>
      </c>
    </row>
    <row r="735" spans="1:22" ht="30">
      <c r="A735" s="15">
        <v>20</v>
      </c>
      <c r="B735" s="177" t="s">
        <v>1366</v>
      </c>
      <c r="C735" s="15" t="s">
        <v>1337</v>
      </c>
      <c r="D735" s="15" t="s">
        <v>31</v>
      </c>
      <c r="E735" s="15" t="s">
        <v>55</v>
      </c>
      <c r="F735" s="15" t="s">
        <v>1367</v>
      </c>
      <c r="G735" s="265">
        <f t="shared" si="186"/>
        <v>13409</v>
      </c>
      <c r="H735" s="265"/>
      <c r="I735" s="265"/>
      <c r="J735" s="265"/>
      <c r="K735" s="543">
        <v>13409</v>
      </c>
      <c r="L735" s="177"/>
      <c r="M735" s="512">
        <f t="shared" si="183"/>
        <v>12500</v>
      </c>
      <c r="N735" s="211"/>
      <c r="O735" s="211"/>
      <c r="P735" s="211"/>
      <c r="Q735" s="211"/>
      <c r="R735" s="211"/>
      <c r="S735" s="512">
        <v>12500</v>
      </c>
      <c r="T735" s="23"/>
      <c r="V735" s="6">
        <f t="shared" si="187"/>
        <v>0</v>
      </c>
    </row>
    <row r="736" spans="1:22" ht="45">
      <c r="A736" s="15">
        <v>21</v>
      </c>
      <c r="B736" s="177" t="s">
        <v>1368</v>
      </c>
      <c r="C736" s="15" t="s">
        <v>1369</v>
      </c>
      <c r="D736" s="15" t="s">
        <v>31</v>
      </c>
      <c r="E736" s="15" t="s">
        <v>55</v>
      </c>
      <c r="F736" s="15" t="s">
        <v>1370</v>
      </c>
      <c r="G736" s="265">
        <f t="shared" si="186"/>
        <v>14643</v>
      </c>
      <c r="H736" s="265"/>
      <c r="I736" s="265"/>
      <c r="J736" s="265"/>
      <c r="K736" s="543">
        <v>14643</v>
      </c>
      <c r="L736" s="177"/>
      <c r="M736" s="512">
        <f t="shared" si="183"/>
        <v>13000</v>
      </c>
      <c r="N736" s="211"/>
      <c r="O736" s="211"/>
      <c r="P736" s="211"/>
      <c r="Q736" s="211"/>
      <c r="R736" s="211"/>
      <c r="S736" s="512">
        <v>13000</v>
      </c>
      <c r="T736" s="23"/>
      <c r="V736" s="6">
        <f t="shared" si="187"/>
        <v>0</v>
      </c>
    </row>
    <row r="737" spans="1:22" ht="75">
      <c r="A737" s="15">
        <v>22</v>
      </c>
      <c r="B737" s="177" t="s">
        <v>1371</v>
      </c>
      <c r="C737" s="15" t="s">
        <v>1372</v>
      </c>
      <c r="D737" s="15" t="s">
        <v>31</v>
      </c>
      <c r="E737" s="15" t="s">
        <v>1268</v>
      </c>
      <c r="F737" s="15" t="s">
        <v>1373</v>
      </c>
      <c r="G737" s="265">
        <f t="shared" si="186"/>
        <v>28263</v>
      </c>
      <c r="H737" s="265"/>
      <c r="I737" s="265"/>
      <c r="J737" s="265"/>
      <c r="K737" s="543">
        <v>28263</v>
      </c>
      <c r="L737" s="177"/>
      <c r="M737" s="512">
        <f t="shared" si="183"/>
        <v>25000</v>
      </c>
      <c r="N737" s="211"/>
      <c r="O737" s="211"/>
      <c r="P737" s="211"/>
      <c r="Q737" s="211"/>
      <c r="R737" s="211"/>
      <c r="S737" s="512">
        <v>25000</v>
      </c>
      <c r="T737" s="23"/>
      <c r="V737" s="6">
        <f t="shared" si="187"/>
        <v>0</v>
      </c>
    </row>
    <row r="738" spans="1:22" ht="30">
      <c r="A738" s="15">
        <v>23</v>
      </c>
      <c r="B738" s="177" t="s">
        <v>1374</v>
      </c>
      <c r="C738" s="15" t="s">
        <v>1347</v>
      </c>
      <c r="D738" s="15" t="s">
        <v>31</v>
      </c>
      <c r="E738" s="521" t="s">
        <v>1375</v>
      </c>
      <c r="F738" s="15" t="s">
        <v>1376</v>
      </c>
      <c r="G738" s="265">
        <f t="shared" si="186"/>
        <v>77852</v>
      </c>
      <c r="H738" s="265"/>
      <c r="I738" s="265"/>
      <c r="J738" s="265"/>
      <c r="K738" s="543">
        <v>77852</v>
      </c>
      <c r="L738" s="177"/>
      <c r="M738" s="512">
        <f t="shared" si="183"/>
        <v>23011</v>
      </c>
      <c r="N738" s="211"/>
      <c r="O738" s="211"/>
      <c r="P738" s="211"/>
      <c r="Q738" s="211"/>
      <c r="R738" s="211"/>
      <c r="S738" s="512">
        <v>23011</v>
      </c>
      <c r="T738" s="23"/>
      <c r="V738" s="6">
        <f t="shared" si="187"/>
        <v>0</v>
      </c>
    </row>
    <row r="739" spans="1:22" ht="30">
      <c r="A739" s="15">
        <v>24</v>
      </c>
      <c r="B739" s="177" t="s">
        <v>1377</v>
      </c>
      <c r="C739" s="15" t="s">
        <v>1326</v>
      </c>
      <c r="D739" s="15" t="s">
        <v>31</v>
      </c>
      <c r="E739" s="521" t="s">
        <v>1375</v>
      </c>
      <c r="F739" s="15" t="s">
        <v>1378</v>
      </c>
      <c r="G739" s="265">
        <f t="shared" si="186"/>
        <v>79667</v>
      </c>
      <c r="H739" s="265"/>
      <c r="I739" s="265"/>
      <c r="J739" s="265"/>
      <c r="K739" s="543">
        <v>79667</v>
      </c>
      <c r="L739" s="177"/>
      <c r="M739" s="512">
        <f t="shared" si="183"/>
        <v>45128</v>
      </c>
      <c r="N739" s="211"/>
      <c r="O739" s="211"/>
      <c r="P739" s="211"/>
      <c r="Q739" s="211"/>
      <c r="R739" s="211"/>
      <c r="S739" s="512">
        <v>45128</v>
      </c>
      <c r="T739" s="23"/>
      <c r="V739" s="6">
        <f t="shared" si="187"/>
        <v>0</v>
      </c>
    </row>
    <row r="740" spans="1:22" ht="30">
      <c r="A740" s="15">
        <v>25</v>
      </c>
      <c r="B740" s="177" t="s">
        <v>1379</v>
      </c>
      <c r="C740" s="15" t="s">
        <v>1323</v>
      </c>
      <c r="D740" s="15" t="s">
        <v>31</v>
      </c>
      <c r="E740" s="521" t="s">
        <v>55</v>
      </c>
      <c r="F740" s="15" t="s">
        <v>1380</v>
      </c>
      <c r="G740" s="265">
        <f t="shared" si="186"/>
        <v>14484</v>
      </c>
      <c r="H740" s="265"/>
      <c r="I740" s="265"/>
      <c r="J740" s="265"/>
      <c r="K740" s="543">
        <v>14484</v>
      </c>
      <c r="L740" s="177">
        <v>300</v>
      </c>
      <c r="M740" s="512">
        <f t="shared" si="183"/>
        <v>12623</v>
      </c>
      <c r="N740" s="211"/>
      <c r="O740" s="211"/>
      <c r="P740" s="211"/>
      <c r="Q740" s="211"/>
      <c r="R740" s="211"/>
      <c r="S740" s="512">
        <v>12623</v>
      </c>
      <c r="T740" s="23"/>
      <c r="V740" s="6">
        <f t="shared" si="187"/>
        <v>0</v>
      </c>
    </row>
    <row r="741" spans="1:22" ht="75">
      <c r="A741" s="15">
        <v>26</v>
      </c>
      <c r="B741" s="177" t="s">
        <v>1381</v>
      </c>
      <c r="C741" s="15" t="s">
        <v>1382</v>
      </c>
      <c r="D741" s="15" t="s">
        <v>31</v>
      </c>
      <c r="E741" s="15" t="s">
        <v>109</v>
      </c>
      <c r="F741" s="15" t="s">
        <v>1383</v>
      </c>
      <c r="G741" s="265">
        <f t="shared" si="186"/>
        <v>1394</v>
      </c>
      <c r="H741" s="265"/>
      <c r="I741" s="265"/>
      <c r="J741" s="265"/>
      <c r="K741" s="543">
        <v>1394</v>
      </c>
      <c r="L741" s="177">
        <v>60</v>
      </c>
      <c r="M741" s="512">
        <f t="shared" si="183"/>
        <v>1234</v>
      </c>
      <c r="N741" s="211"/>
      <c r="O741" s="211"/>
      <c r="P741" s="211"/>
      <c r="Q741" s="211"/>
      <c r="R741" s="211"/>
      <c r="S741" s="512">
        <v>1234</v>
      </c>
      <c r="T741" s="23"/>
      <c r="V741" s="6">
        <f t="shared" si="187"/>
        <v>0</v>
      </c>
    </row>
    <row r="742" spans="1:22" ht="60">
      <c r="A742" s="15">
        <v>27</v>
      </c>
      <c r="B742" s="177" t="s">
        <v>1384</v>
      </c>
      <c r="C742" s="15" t="s">
        <v>1337</v>
      </c>
      <c r="D742" s="15" t="s">
        <v>31</v>
      </c>
      <c r="E742" s="15" t="s">
        <v>109</v>
      </c>
      <c r="F742" s="15" t="s">
        <v>1385</v>
      </c>
      <c r="G742" s="265">
        <f t="shared" si="186"/>
        <v>14565</v>
      </c>
      <c r="H742" s="265"/>
      <c r="I742" s="265"/>
      <c r="J742" s="265"/>
      <c r="K742" s="543">
        <v>14565</v>
      </c>
      <c r="L742" s="177">
        <v>300</v>
      </c>
      <c r="M742" s="512">
        <f t="shared" si="183"/>
        <v>14428</v>
      </c>
      <c r="N742" s="211"/>
      <c r="O742" s="211"/>
      <c r="P742" s="211"/>
      <c r="Q742" s="211"/>
      <c r="R742" s="211"/>
      <c r="S742" s="512">
        <v>14428</v>
      </c>
      <c r="T742" s="23"/>
      <c r="V742" s="6">
        <f t="shared" si="187"/>
        <v>0</v>
      </c>
    </row>
    <row r="743" spans="1:22" ht="45">
      <c r="A743" s="15">
        <v>28</v>
      </c>
      <c r="B743" s="177" t="s">
        <v>1386</v>
      </c>
      <c r="C743" s="15" t="s">
        <v>1360</v>
      </c>
      <c r="D743" s="15" t="s">
        <v>31</v>
      </c>
      <c r="E743" s="15"/>
      <c r="F743" s="15" t="s">
        <v>1387</v>
      </c>
      <c r="G743" s="265">
        <f t="shared" si="186"/>
        <v>14760</v>
      </c>
      <c r="H743" s="265"/>
      <c r="I743" s="265"/>
      <c r="J743" s="265"/>
      <c r="K743" s="543">
        <v>14760</v>
      </c>
      <c r="L743" s="177"/>
      <c r="M743" s="512">
        <f t="shared" si="183"/>
        <v>12000</v>
      </c>
      <c r="N743" s="211"/>
      <c r="O743" s="211"/>
      <c r="P743" s="211"/>
      <c r="Q743" s="211"/>
      <c r="R743" s="211"/>
      <c r="S743" s="512">
        <v>12000</v>
      </c>
      <c r="T743" s="23"/>
      <c r="V743" s="6">
        <f t="shared" si="187"/>
        <v>0</v>
      </c>
    </row>
    <row r="744" spans="1:22" ht="75">
      <c r="A744" s="15">
        <v>29</v>
      </c>
      <c r="B744" s="177" t="s">
        <v>1388</v>
      </c>
      <c r="C744" s="15" t="s">
        <v>1337</v>
      </c>
      <c r="D744" s="15" t="s">
        <v>26</v>
      </c>
      <c r="E744" s="15" t="s">
        <v>115</v>
      </c>
      <c r="F744" s="15" t="s">
        <v>1389</v>
      </c>
      <c r="G744" s="265">
        <f t="shared" si="186"/>
        <v>78555</v>
      </c>
      <c r="H744" s="265"/>
      <c r="I744" s="265"/>
      <c r="J744" s="265"/>
      <c r="K744" s="543">
        <v>78555</v>
      </c>
      <c r="L744" s="177"/>
      <c r="M744" s="512">
        <f t="shared" si="183"/>
        <v>61164</v>
      </c>
      <c r="N744" s="211"/>
      <c r="O744" s="211"/>
      <c r="P744" s="211"/>
      <c r="Q744" s="211"/>
      <c r="R744" s="211"/>
      <c r="S744" s="512">
        <v>61164</v>
      </c>
      <c r="T744" s="23"/>
      <c r="V744" s="6">
        <f t="shared" si="187"/>
        <v>0</v>
      </c>
    </row>
    <row r="745" spans="1:22" ht="30">
      <c r="A745" s="15">
        <v>30</v>
      </c>
      <c r="B745" s="177" t="s">
        <v>1390</v>
      </c>
      <c r="C745" s="15" t="s">
        <v>1326</v>
      </c>
      <c r="D745" s="15" t="s">
        <v>31</v>
      </c>
      <c r="E745" s="15"/>
      <c r="F745" s="15"/>
      <c r="G745" s="265">
        <f t="shared" si="186"/>
        <v>4107</v>
      </c>
      <c r="H745" s="265"/>
      <c r="I745" s="265"/>
      <c r="J745" s="265"/>
      <c r="K745" s="543">
        <v>4107</v>
      </c>
      <c r="L745" s="177"/>
      <c r="M745" s="512">
        <f t="shared" si="183"/>
        <v>3862</v>
      </c>
      <c r="N745" s="211"/>
      <c r="O745" s="211"/>
      <c r="P745" s="211"/>
      <c r="Q745" s="211"/>
      <c r="R745" s="211"/>
      <c r="S745" s="512">
        <v>3862</v>
      </c>
      <c r="T745" s="23"/>
      <c r="V745" s="6">
        <f t="shared" si="187"/>
        <v>0</v>
      </c>
    </row>
    <row r="746" spans="1:22" ht="45">
      <c r="A746" s="15">
        <v>31</v>
      </c>
      <c r="B746" s="177" t="s">
        <v>1391</v>
      </c>
      <c r="C746" s="15" t="s">
        <v>1326</v>
      </c>
      <c r="D746" s="15" t="s">
        <v>31</v>
      </c>
      <c r="E746" s="15" t="s">
        <v>55</v>
      </c>
      <c r="F746" s="15" t="s">
        <v>1392</v>
      </c>
      <c r="G746" s="265">
        <f t="shared" si="186"/>
        <v>10930</v>
      </c>
      <c r="H746" s="265"/>
      <c r="I746" s="265"/>
      <c r="J746" s="265"/>
      <c r="K746" s="543">
        <v>10930</v>
      </c>
      <c r="L746" s="177"/>
      <c r="M746" s="512">
        <f t="shared" si="183"/>
        <v>10053</v>
      </c>
      <c r="N746" s="211"/>
      <c r="O746" s="211"/>
      <c r="P746" s="211"/>
      <c r="Q746" s="211"/>
      <c r="R746" s="211"/>
      <c r="S746" s="512">
        <v>10053</v>
      </c>
      <c r="T746" s="23"/>
      <c r="V746" s="6">
        <f t="shared" si="187"/>
        <v>0</v>
      </c>
    </row>
    <row r="747" spans="1:22" ht="45">
      <c r="A747" s="15">
        <v>32</v>
      </c>
      <c r="B747" s="177" t="s">
        <v>1393</v>
      </c>
      <c r="C747" s="15" t="s">
        <v>1347</v>
      </c>
      <c r="D747" s="15" t="s">
        <v>31</v>
      </c>
      <c r="E747" s="15" t="s">
        <v>112</v>
      </c>
      <c r="F747" s="15" t="s">
        <v>1394</v>
      </c>
      <c r="G747" s="265">
        <f t="shared" si="186"/>
        <v>34982</v>
      </c>
      <c r="H747" s="265"/>
      <c r="I747" s="265"/>
      <c r="J747" s="265"/>
      <c r="K747" s="543">
        <v>34982</v>
      </c>
      <c r="L747" s="177"/>
      <c r="M747" s="512">
        <f t="shared" si="183"/>
        <v>25500</v>
      </c>
      <c r="N747" s="211"/>
      <c r="O747" s="211"/>
      <c r="P747" s="211"/>
      <c r="Q747" s="211"/>
      <c r="R747" s="211"/>
      <c r="S747" s="512">
        <v>25500</v>
      </c>
      <c r="T747" s="23"/>
      <c r="V747" s="6">
        <f t="shared" si="187"/>
        <v>0</v>
      </c>
    </row>
    <row r="748" spans="1:22" ht="30">
      <c r="A748" s="15">
        <v>33</v>
      </c>
      <c r="B748" s="177" t="s">
        <v>1395</v>
      </c>
      <c r="C748" s="15" t="s">
        <v>1323</v>
      </c>
      <c r="D748" s="15" t="s">
        <v>31</v>
      </c>
      <c r="E748" s="15" t="s">
        <v>55</v>
      </c>
      <c r="F748" s="15" t="s">
        <v>1396</v>
      </c>
      <c r="G748" s="265">
        <f t="shared" si="186"/>
        <v>22920</v>
      </c>
      <c r="H748" s="265"/>
      <c r="I748" s="265"/>
      <c r="J748" s="265"/>
      <c r="K748" s="543">
        <v>22920</v>
      </c>
      <c r="L748" s="177"/>
      <c r="M748" s="512">
        <f t="shared" si="183"/>
        <v>15000</v>
      </c>
      <c r="N748" s="211"/>
      <c r="O748" s="211"/>
      <c r="P748" s="211"/>
      <c r="Q748" s="211"/>
      <c r="R748" s="211"/>
      <c r="S748" s="512">
        <v>15000</v>
      </c>
      <c r="T748" s="23"/>
      <c r="V748" s="6">
        <f t="shared" si="187"/>
        <v>0</v>
      </c>
    </row>
    <row r="749" spans="1:22" ht="45">
      <c r="A749" s="15">
        <v>34</v>
      </c>
      <c r="B749" s="177" t="s">
        <v>1397</v>
      </c>
      <c r="C749" s="15" t="s">
        <v>1337</v>
      </c>
      <c r="D749" s="15" t="s">
        <v>31</v>
      </c>
      <c r="E749" s="15" t="s">
        <v>55</v>
      </c>
      <c r="F749" s="15" t="s">
        <v>1398</v>
      </c>
      <c r="G749" s="265">
        <f t="shared" si="186"/>
        <v>1086</v>
      </c>
      <c r="H749" s="265"/>
      <c r="I749" s="265"/>
      <c r="J749" s="265"/>
      <c r="K749" s="543">
        <v>1086</v>
      </c>
      <c r="L749" s="177"/>
      <c r="M749" s="512">
        <f t="shared" si="183"/>
        <v>1000</v>
      </c>
      <c r="N749" s="211"/>
      <c r="O749" s="211"/>
      <c r="P749" s="211"/>
      <c r="Q749" s="211"/>
      <c r="R749" s="211"/>
      <c r="S749" s="512">
        <v>1000</v>
      </c>
      <c r="T749" s="23"/>
      <c r="V749" s="6">
        <f t="shared" si="187"/>
        <v>0</v>
      </c>
    </row>
    <row r="750" spans="1:22" ht="30">
      <c r="A750" s="15">
        <v>35</v>
      </c>
      <c r="B750" s="177" t="s">
        <v>1399</v>
      </c>
      <c r="C750" s="15" t="s">
        <v>1326</v>
      </c>
      <c r="D750" s="15" t="s">
        <v>31</v>
      </c>
      <c r="E750" s="15" t="s">
        <v>109</v>
      </c>
      <c r="F750" s="15" t="s">
        <v>1400</v>
      </c>
      <c r="G750" s="265">
        <f t="shared" si="186"/>
        <v>4626</v>
      </c>
      <c r="H750" s="265"/>
      <c r="I750" s="265"/>
      <c r="J750" s="265"/>
      <c r="K750" s="543">
        <v>4626</v>
      </c>
      <c r="L750" s="177">
        <v>150</v>
      </c>
      <c r="M750" s="512">
        <f t="shared" si="183"/>
        <v>3703</v>
      </c>
      <c r="N750" s="211"/>
      <c r="O750" s="211"/>
      <c r="P750" s="211"/>
      <c r="Q750" s="211"/>
      <c r="R750" s="211"/>
      <c r="S750" s="512">
        <v>3703</v>
      </c>
      <c r="T750" s="23"/>
      <c r="V750" s="6">
        <f t="shared" si="187"/>
        <v>0</v>
      </c>
    </row>
    <row r="751" spans="1:22" ht="45">
      <c r="A751" s="15">
        <v>36</v>
      </c>
      <c r="B751" s="177" t="s">
        <v>1401</v>
      </c>
      <c r="C751" s="15" t="s">
        <v>1360</v>
      </c>
      <c r="D751" s="15" t="s">
        <v>31</v>
      </c>
      <c r="E751" s="15" t="s">
        <v>55</v>
      </c>
      <c r="F751" s="15" t="s">
        <v>1402</v>
      </c>
      <c r="G751" s="265">
        <f t="shared" si="186"/>
        <v>2087</v>
      </c>
      <c r="H751" s="265"/>
      <c r="I751" s="265"/>
      <c r="J751" s="265"/>
      <c r="K751" s="543">
        <v>2087</v>
      </c>
      <c r="L751" s="177"/>
      <c r="M751" s="512">
        <f t="shared" si="183"/>
        <v>2000</v>
      </c>
      <c r="N751" s="211"/>
      <c r="O751" s="211"/>
      <c r="P751" s="211"/>
      <c r="Q751" s="211"/>
      <c r="R751" s="211"/>
      <c r="S751" s="512">
        <v>2000</v>
      </c>
      <c r="T751" s="23"/>
      <c r="V751" s="6">
        <f t="shared" si="187"/>
        <v>0</v>
      </c>
    </row>
    <row r="752" spans="1:22" ht="45">
      <c r="A752" s="15">
        <v>37</v>
      </c>
      <c r="B752" s="177" t="s">
        <v>1403</v>
      </c>
      <c r="C752" s="15" t="s">
        <v>1360</v>
      </c>
      <c r="D752" s="15" t="s">
        <v>31</v>
      </c>
      <c r="E752" s="15" t="s">
        <v>55</v>
      </c>
      <c r="F752" s="15" t="s">
        <v>1404</v>
      </c>
      <c r="G752" s="265">
        <f t="shared" si="186"/>
        <v>1208</v>
      </c>
      <c r="H752" s="265"/>
      <c r="I752" s="265"/>
      <c r="J752" s="265"/>
      <c r="K752" s="261">
        <v>1208</v>
      </c>
      <c r="L752" s="177"/>
      <c r="M752" s="512">
        <f t="shared" si="183"/>
        <v>1150</v>
      </c>
      <c r="N752" s="211"/>
      <c r="O752" s="211"/>
      <c r="P752" s="211"/>
      <c r="Q752" s="211"/>
      <c r="R752" s="211"/>
      <c r="S752" s="512">
        <v>1150</v>
      </c>
      <c r="T752" s="23"/>
      <c r="V752" s="6">
        <f t="shared" si="187"/>
        <v>0</v>
      </c>
    </row>
    <row r="753" spans="1:22" ht="45">
      <c r="A753" s="15">
        <v>38</v>
      </c>
      <c r="B753" s="177" t="s">
        <v>1405</v>
      </c>
      <c r="C753" s="15" t="s">
        <v>1360</v>
      </c>
      <c r="D753" s="15" t="s">
        <v>31</v>
      </c>
      <c r="E753" s="15" t="s">
        <v>55</v>
      </c>
      <c r="F753" s="15" t="s">
        <v>1406</v>
      </c>
      <c r="G753" s="265">
        <f t="shared" si="186"/>
        <v>722</v>
      </c>
      <c r="H753" s="265"/>
      <c r="I753" s="265"/>
      <c r="J753" s="265"/>
      <c r="K753" s="261">
        <v>722</v>
      </c>
      <c r="L753" s="177"/>
      <c r="M753" s="512">
        <f t="shared" si="183"/>
        <v>690</v>
      </c>
      <c r="N753" s="211"/>
      <c r="O753" s="211"/>
      <c r="P753" s="211"/>
      <c r="Q753" s="211"/>
      <c r="R753" s="211"/>
      <c r="S753" s="512">
        <v>690</v>
      </c>
      <c r="T753" s="23"/>
      <c r="V753" s="6">
        <f t="shared" si="187"/>
        <v>0</v>
      </c>
    </row>
    <row r="754" spans="1:22" s="26" customFormat="1" ht="28.5">
      <c r="A754" s="468" t="s">
        <v>416</v>
      </c>
      <c r="B754" s="523" t="s">
        <v>1407</v>
      </c>
      <c r="C754" s="248"/>
      <c r="D754" s="249"/>
      <c r="E754" s="250"/>
      <c r="F754" s="251"/>
      <c r="G754" s="252">
        <f>G781+G784+G755</f>
        <v>1992967.9580000001</v>
      </c>
      <c r="H754" s="252"/>
      <c r="I754" s="252"/>
      <c r="J754" s="252"/>
      <c r="K754" s="259">
        <f>K781+K784+K755</f>
        <v>1992967.9580000001</v>
      </c>
      <c r="L754" s="259"/>
      <c r="M754" s="545">
        <f>SUM(N754:S754)</f>
        <v>589964.6</v>
      </c>
      <c r="N754" s="546"/>
      <c r="O754" s="546"/>
      <c r="P754" s="546"/>
      <c r="Q754" s="546"/>
      <c r="R754" s="546"/>
      <c r="S754" s="255">
        <f>S781+S784+S755</f>
        <v>589964.6</v>
      </c>
      <c r="T754" s="23"/>
      <c r="V754" s="6">
        <f t="shared" si="187"/>
        <v>0</v>
      </c>
    </row>
    <row r="755" spans="1:22" s="26" customFormat="1" ht="22.5" customHeight="1">
      <c r="A755" s="468" t="s">
        <v>37</v>
      </c>
      <c r="B755" s="523" t="s">
        <v>38</v>
      </c>
      <c r="C755" s="533"/>
      <c r="D755" s="533"/>
      <c r="E755" s="533"/>
      <c r="F755" s="534"/>
      <c r="G755" s="534">
        <f>SUM(G756:G778)</f>
        <v>879515</v>
      </c>
      <c r="H755" s="534"/>
      <c r="I755" s="534"/>
      <c r="J755" s="534"/>
      <c r="K755" s="534">
        <f>SUM(K756:K778)</f>
        <v>879515</v>
      </c>
      <c r="L755" s="534"/>
      <c r="M755" s="534">
        <f t="shared" ref="M755:M815" si="188">SUM(N755:S755)</f>
        <v>1700</v>
      </c>
      <c r="N755" s="534"/>
      <c r="O755" s="534"/>
      <c r="P755" s="534"/>
      <c r="Q755" s="534"/>
      <c r="R755" s="534"/>
      <c r="S755" s="534">
        <f>SUM(S756:S778)</f>
        <v>1700</v>
      </c>
      <c r="T755" s="535"/>
      <c r="V755" s="6">
        <f t="shared" si="187"/>
        <v>0</v>
      </c>
    </row>
    <row r="756" spans="1:22" s="26" customFormat="1" ht="30">
      <c r="A756" s="204">
        <v>1</v>
      </c>
      <c r="B756" s="233" t="s">
        <v>1408</v>
      </c>
      <c r="C756" s="234" t="s">
        <v>1409</v>
      </c>
      <c r="D756" s="235" t="s">
        <v>31</v>
      </c>
      <c r="E756" s="235" t="s">
        <v>1410</v>
      </c>
      <c r="F756" s="266" t="s">
        <v>1411</v>
      </c>
      <c r="G756" s="236">
        <v>12974</v>
      </c>
      <c r="H756" s="237"/>
      <c r="I756" s="237"/>
      <c r="J756" s="237"/>
      <c r="K756" s="27">
        <f>G756</f>
        <v>12974</v>
      </c>
      <c r="L756" s="238"/>
      <c r="M756" s="512">
        <f t="shared" si="188"/>
        <v>100</v>
      </c>
      <c r="N756" s="239"/>
      <c r="O756" s="239"/>
      <c r="P756" s="239"/>
      <c r="Q756" s="239"/>
      <c r="R756" s="239"/>
      <c r="S756" s="240">
        <v>100</v>
      </c>
      <c r="T756" s="23"/>
      <c r="V756" s="6">
        <f t="shared" si="187"/>
        <v>0</v>
      </c>
    </row>
    <row r="757" spans="1:22" s="26" customFormat="1" ht="30">
      <c r="A757" s="204">
        <v>2</v>
      </c>
      <c r="B757" s="241" t="s">
        <v>1412</v>
      </c>
      <c r="C757" s="234" t="s">
        <v>1413</v>
      </c>
      <c r="D757" s="235" t="s">
        <v>31</v>
      </c>
      <c r="E757" s="235" t="s">
        <v>1410</v>
      </c>
      <c r="F757" s="266" t="s">
        <v>1414</v>
      </c>
      <c r="G757" s="236">
        <v>14905</v>
      </c>
      <c r="H757" s="237"/>
      <c r="I757" s="237"/>
      <c r="J757" s="237"/>
      <c r="K757" s="27">
        <f t="shared" ref="K757:K766" si="189">G757</f>
        <v>14905</v>
      </c>
      <c r="L757" s="238"/>
      <c r="M757" s="512">
        <f t="shared" si="188"/>
        <v>100</v>
      </c>
      <c r="N757" s="239"/>
      <c r="O757" s="239"/>
      <c r="P757" s="239"/>
      <c r="Q757" s="239"/>
      <c r="R757" s="239"/>
      <c r="S757" s="240">
        <v>100</v>
      </c>
      <c r="T757" s="23"/>
      <c r="V757" s="6">
        <f t="shared" si="187"/>
        <v>0</v>
      </c>
    </row>
    <row r="758" spans="1:22" s="26" customFormat="1" ht="30">
      <c r="A758" s="204">
        <v>3</v>
      </c>
      <c r="B758" s="241" t="s">
        <v>1415</v>
      </c>
      <c r="C758" s="234" t="s">
        <v>1416</v>
      </c>
      <c r="D758" s="235" t="s">
        <v>31</v>
      </c>
      <c r="E758" s="235" t="s">
        <v>1410</v>
      </c>
      <c r="F758" s="266" t="s">
        <v>1417</v>
      </c>
      <c r="G758" s="236">
        <v>12301</v>
      </c>
      <c r="H758" s="237"/>
      <c r="I758" s="237"/>
      <c r="J758" s="237"/>
      <c r="K758" s="27">
        <f t="shared" si="189"/>
        <v>12301</v>
      </c>
      <c r="L758" s="238"/>
      <c r="M758" s="512">
        <f t="shared" si="188"/>
        <v>100</v>
      </c>
      <c r="N758" s="239"/>
      <c r="O758" s="239"/>
      <c r="P758" s="239"/>
      <c r="Q758" s="239"/>
      <c r="R758" s="239"/>
      <c r="S758" s="240">
        <v>100</v>
      </c>
      <c r="T758" s="23"/>
      <c r="V758" s="6">
        <f t="shared" si="187"/>
        <v>0</v>
      </c>
    </row>
    <row r="759" spans="1:22" s="26" customFormat="1" ht="30">
      <c r="A759" s="204">
        <v>4</v>
      </c>
      <c r="B759" s="233" t="s">
        <v>1418</v>
      </c>
      <c r="C759" s="234" t="s">
        <v>1419</v>
      </c>
      <c r="D759" s="235" t="s">
        <v>31</v>
      </c>
      <c r="E759" s="235" t="s">
        <v>1410</v>
      </c>
      <c r="F759" s="266" t="s">
        <v>1420</v>
      </c>
      <c r="G759" s="236">
        <v>19786</v>
      </c>
      <c r="H759" s="237"/>
      <c r="I759" s="237"/>
      <c r="J759" s="237"/>
      <c r="K759" s="27">
        <f t="shared" si="189"/>
        <v>19786</v>
      </c>
      <c r="L759" s="238"/>
      <c r="M759" s="512">
        <f t="shared" si="188"/>
        <v>100</v>
      </c>
      <c r="N759" s="239"/>
      <c r="O759" s="239"/>
      <c r="P759" s="239"/>
      <c r="Q759" s="239"/>
      <c r="R759" s="239"/>
      <c r="S759" s="240">
        <v>100</v>
      </c>
      <c r="T759" s="23"/>
      <c r="V759" s="6">
        <f t="shared" si="187"/>
        <v>0</v>
      </c>
    </row>
    <row r="760" spans="1:22" s="26" customFormat="1" ht="30">
      <c r="A760" s="204">
        <v>5</v>
      </c>
      <c r="B760" s="242" t="s">
        <v>1421</v>
      </c>
      <c r="C760" s="234" t="s">
        <v>1419</v>
      </c>
      <c r="D760" s="235" t="s">
        <v>31</v>
      </c>
      <c r="E760" s="235" t="s">
        <v>1410</v>
      </c>
      <c r="F760" s="266" t="s">
        <v>1422</v>
      </c>
      <c r="G760" s="236">
        <v>18445</v>
      </c>
      <c r="H760" s="237"/>
      <c r="I760" s="237"/>
      <c r="J760" s="237"/>
      <c r="K760" s="27">
        <f t="shared" si="189"/>
        <v>18445</v>
      </c>
      <c r="L760" s="238"/>
      <c r="M760" s="512">
        <f t="shared" si="188"/>
        <v>100</v>
      </c>
      <c r="N760" s="239"/>
      <c r="O760" s="239"/>
      <c r="P760" s="239"/>
      <c r="Q760" s="239"/>
      <c r="R760" s="239"/>
      <c r="S760" s="240">
        <v>100</v>
      </c>
      <c r="T760" s="23"/>
      <c r="V760" s="6">
        <f t="shared" si="187"/>
        <v>0</v>
      </c>
    </row>
    <row r="761" spans="1:22" s="26" customFormat="1" ht="30">
      <c r="A761" s="204">
        <v>6</v>
      </c>
      <c r="B761" s="233" t="s">
        <v>1423</v>
      </c>
      <c r="C761" s="234" t="s">
        <v>1424</v>
      </c>
      <c r="D761" s="235" t="s">
        <v>31</v>
      </c>
      <c r="E761" s="235" t="s">
        <v>1410</v>
      </c>
      <c r="F761" s="266" t="s">
        <v>1425</v>
      </c>
      <c r="G761" s="236">
        <v>18482</v>
      </c>
      <c r="H761" s="237"/>
      <c r="I761" s="237"/>
      <c r="J761" s="237"/>
      <c r="K761" s="27">
        <f t="shared" si="189"/>
        <v>18482</v>
      </c>
      <c r="L761" s="238"/>
      <c r="M761" s="512">
        <f t="shared" si="188"/>
        <v>100</v>
      </c>
      <c r="N761" s="239"/>
      <c r="O761" s="239"/>
      <c r="P761" s="239"/>
      <c r="Q761" s="239"/>
      <c r="R761" s="239"/>
      <c r="S761" s="240">
        <v>100</v>
      </c>
      <c r="T761" s="23"/>
      <c r="V761" s="6">
        <f t="shared" si="187"/>
        <v>0</v>
      </c>
    </row>
    <row r="762" spans="1:22" s="26" customFormat="1" ht="30">
      <c r="A762" s="204">
        <v>7</v>
      </c>
      <c r="B762" s="233" t="s">
        <v>1426</v>
      </c>
      <c r="C762" s="234" t="s">
        <v>1424</v>
      </c>
      <c r="D762" s="235" t="s">
        <v>31</v>
      </c>
      <c r="E762" s="235" t="s">
        <v>1410</v>
      </c>
      <c r="F762" s="266" t="s">
        <v>1427</v>
      </c>
      <c r="G762" s="236">
        <v>8703</v>
      </c>
      <c r="H762" s="237"/>
      <c r="I762" s="237"/>
      <c r="J762" s="237"/>
      <c r="K762" s="27">
        <f t="shared" si="189"/>
        <v>8703</v>
      </c>
      <c r="L762" s="238"/>
      <c r="M762" s="512">
        <f t="shared" si="188"/>
        <v>50</v>
      </c>
      <c r="N762" s="239"/>
      <c r="O762" s="239"/>
      <c r="P762" s="239"/>
      <c r="Q762" s="239"/>
      <c r="R762" s="239"/>
      <c r="S762" s="240">
        <v>50</v>
      </c>
      <c r="T762" s="23"/>
      <c r="V762" s="6">
        <f t="shared" si="187"/>
        <v>0</v>
      </c>
    </row>
    <row r="763" spans="1:22" s="26" customFormat="1" ht="45">
      <c r="A763" s="204">
        <v>8</v>
      </c>
      <c r="B763" s="242" t="s">
        <v>1428</v>
      </c>
      <c r="C763" s="234" t="s">
        <v>1429</v>
      </c>
      <c r="D763" s="235" t="s">
        <v>31</v>
      </c>
      <c r="E763" s="235" t="s">
        <v>1410</v>
      </c>
      <c r="F763" s="266" t="s">
        <v>1430</v>
      </c>
      <c r="G763" s="236">
        <v>18137</v>
      </c>
      <c r="H763" s="237"/>
      <c r="I763" s="237"/>
      <c r="J763" s="237"/>
      <c r="K763" s="27">
        <f t="shared" si="189"/>
        <v>18137</v>
      </c>
      <c r="L763" s="238"/>
      <c r="M763" s="512">
        <f t="shared" si="188"/>
        <v>100</v>
      </c>
      <c r="N763" s="239"/>
      <c r="O763" s="239"/>
      <c r="P763" s="239"/>
      <c r="Q763" s="239"/>
      <c r="R763" s="239"/>
      <c r="S763" s="240">
        <v>100</v>
      </c>
      <c r="T763" s="23"/>
      <c r="V763" s="6">
        <f t="shared" si="187"/>
        <v>0</v>
      </c>
    </row>
    <row r="764" spans="1:22" s="26" customFormat="1" ht="30">
      <c r="A764" s="204">
        <v>9</v>
      </c>
      <c r="B764" s="242" t="s">
        <v>1431</v>
      </c>
      <c r="C764" s="234" t="s">
        <v>1429</v>
      </c>
      <c r="D764" s="235" t="s">
        <v>31</v>
      </c>
      <c r="E764" s="235" t="s">
        <v>1410</v>
      </c>
      <c r="F764" s="266" t="s">
        <v>1432</v>
      </c>
      <c r="G764" s="236">
        <v>27328</v>
      </c>
      <c r="H764" s="237"/>
      <c r="I764" s="237"/>
      <c r="J764" s="237"/>
      <c r="K764" s="27">
        <f t="shared" si="189"/>
        <v>27328</v>
      </c>
      <c r="L764" s="238"/>
      <c r="M764" s="512">
        <f t="shared" si="188"/>
        <v>100</v>
      </c>
      <c r="N764" s="239"/>
      <c r="O764" s="239"/>
      <c r="P764" s="239"/>
      <c r="Q764" s="239"/>
      <c r="R764" s="239"/>
      <c r="S764" s="240">
        <v>100</v>
      </c>
      <c r="T764" s="23"/>
      <c r="V764" s="6">
        <f t="shared" si="187"/>
        <v>0</v>
      </c>
    </row>
    <row r="765" spans="1:22" s="26" customFormat="1" ht="30">
      <c r="A765" s="204">
        <v>10</v>
      </c>
      <c r="B765" s="243" t="s">
        <v>1433</v>
      </c>
      <c r="C765" s="234" t="s">
        <v>1429</v>
      </c>
      <c r="D765" s="235" t="s">
        <v>31</v>
      </c>
      <c r="E765" s="235" t="s">
        <v>1410</v>
      </c>
      <c r="F765" s="266" t="s">
        <v>1434</v>
      </c>
      <c r="G765" s="236">
        <v>6329</v>
      </c>
      <c r="H765" s="237"/>
      <c r="I765" s="237"/>
      <c r="J765" s="237"/>
      <c r="K765" s="27">
        <f t="shared" si="189"/>
        <v>6329</v>
      </c>
      <c r="L765" s="238"/>
      <c r="M765" s="512">
        <f t="shared" si="188"/>
        <v>50</v>
      </c>
      <c r="N765" s="239"/>
      <c r="O765" s="239"/>
      <c r="P765" s="239"/>
      <c r="Q765" s="239"/>
      <c r="R765" s="239"/>
      <c r="S765" s="240">
        <v>50</v>
      </c>
      <c r="T765" s="23"/>
      <c r="V765" s="6">
        <f t="shared" si="187"/>
        <v>0</v>
      </c>
    </row>
    <row r="766" spans="1:22" s="26" customFormat="1" ht="45">
      <c r="A766" s="204">
        <v>11</v>
      </c>
      <c r="B766" s="243" t="s">
        <v>1435</v>
      </c>
      <c r="C766" s="234" t="s">
        <v>1436</v>
      </c>
      <c r="D766" s="244" t="s">
        <v>26</v>
      </c>
      <c r="E766" s="235" t="s">
        <v>1437</v>
      </c>
      <c r="F766" s="266" t="s">
        <v>1438</v>
      </c>
      <c r="G766" s="236">
        <v>303521</v>
      </c>
      <c r="H766" s="245"/>
      <c r="I766" s="245"/>
      <c r="J766" s="245"/>
      <c r="K766" s="27">
        <f t="shared" si="189"/>
        <v>303521</v>
      </c>
      <c r="L766" s="238"/>
      <c r="M766" s="512">
        <f t="shared" si="188"/>
        <v>100</v>
      </c>
      <c r="N766" s="239"/>
      <c r="O766" s="239"/>
      <c r="P766" s="239"/>
      <c r="Q766" s="239"/>
      <c r="R766" s="239"/>
      <c r="S766" s="240">
        <v>100</v>
      </c>
      <c r="T766" s="23"/>
      <c r="V766" s="6">
        <f t="shared" si="187"/>
        <v>0</v>
      </c>
    </row>
    <row r="767" spans="1:22" s="26" customFormat="1" ht="30">
      <c r="A767" s="204">
        <v>12</v>
      </c>
      <c r="B767" s="233" t="s">
        <v>1439</v>
      </c>
      <c r="C767" s="234" t="s">
        <v>1416</v>
      </c>
      <c r="D767" s="235" t="s">
        <v>31</v>
      </c>
      <c r="E767" s="235" t="s">
        <v>1410</v>
      </c>
      <c r="F767" s="266" t="s">
        <v>1440</v>
      </c>
      <c r="G767" s="236">
        <v>5939</v>
      </c>
      <c r="H767" s="245"/>
      <c r="I767" s="245"/>
      <c r="J767" s="245"/>
      <c r="K767" s="27">
        <f>G767</f>
        <v>5939</v>
      </c>
      <c r="L767" s="238"/>
      <c r="M767" s="512">
        <f t="shared" si="188"/>
        <v>50</v>
      </c>
      <c r="N767" s="239"/>
      <c r="O767" s="239"/>
      <c r="P767" s="239"/>
      <c r="Q767" s="239"/>
      <c r="R767" s="239"/>
      <c r="S767" s="240">
        <v>50</v>
      </c>
      <c r="T767" s="23"/>
      <c r="V767" s="6">
        <f t="shared" si="187"/>
        <v>0</v>
      </c>
    </row>
    <row r="768" spans="1:22" s="26" customFormat="1" ht="30">
      <c r="A768" s="204">
        <v>13</v>
      </c>
      <c r="B768" s="233" t="s">
        <v>1441</v>
      </c>
      <c r="C768" s="234" t="s">
        <v>1429</v>
      </c>
      <c r="D768" s="235" t="s">
        <v>31</v>
      </c>
      <c r="E768" s="235" t="s">
        <v>1410</v>
      </c>
      <c r="F768" s="266" t="s">
        <v>1442</v>
      </c>
      <c r="G768" s="236">
        <v>4872</v>
      </c>
      <c r="H768" s="245"/>
      <c r="I768" s="245"/>
      <c r="J768" s="245"/>
      <c r="K768" s="27">
        <f t="shared" ref="K768:K778" si="190">G768</f>
        <v>4872</v>
      </c>
      <c r="L768" s="238"/>
      <c r="M768" s="512">
        <f t="shared" si="188"/>
        <v>50</v>
      </c>
      <c r="N768" s="239"/>
      <c r="O768" s="239"/>
      <c r="P768" s="239"/>
      <c r="Q768" s="239"/>
      <c r="R768" s="239"/>
      <c r="S768" s="240">
        <v>50</v>
      </c>
      <c r="T768" s="23"/>
      <c r="V768" s="6">
        <f t="shared" si="187"/>
        <v>0</v>
      </c>
    </row>
    <row r="769" spans="1:22" s="26" customFormat="1" ht="30">
      <c r="A769" s="204">
        <v>14</v>
      </c>
      <c r="B769" s="233" t="s">
        <v>1443</v>
      </c>
      <c r="C769" s="234" t="s">
        <v>1413</v>
      </c>
      <c r="D769" s="235" t="s">
        <v>31</v>
      </c>
      <c r="E769" s="235" t="s">
        <v>1410</v>
      </c>
      <c r="F769" s="266" t="s">
        <v>1444</v>
      </c>
      <c r="G769" s="236">
        <v>5998</v>
      </c>
      <c r="H769" s="245"/>
      <c r="I769" s="245"/>
      <c r="J769" s="245"/>
      <c r="K769" s="27">
        <f t="shared" si="190"/>
        <v>5998</v>
      </c>
      <c r="L769" s="238"/>
      <c r="M769" s="512">
        <f t="shared" si="188"/>
        <v>50</v>
      </c>
      <c r="N769" s="239"/>
      <c r="O769" s="239"/>
      <c r="P769" s="239"/>
      <c r="Q769" s="239"/>
      <c r="R769" s="239"/>
      <c r="S769" s="240">
        <v>50</v>
      </c>
      <c r="T769" s="23"/>
      <c r="V769" s="6">
        <f t="shared" si="187"/>
        <v>0</v>
      </c>
    </row>
    <row r="770" spans="1:22" s="26" customFormat="1" ht="30">
      <c r="A770" s="204">
        <v>15</v>
      </c>
      <c r="B770" s="233" t="s">
        <v>1445</v>
      </c>
      <c r="C770" s="234" t="s">
        <v>1436</v>
      </c>
      <c r="D770" s="235" t="s">
        <v>31</v>
      </c>
      <c r="E770" s="235" t="s">
        <v>1410</v>
      </c>
      <c r="F770" s="266" t="s">
        <v>1446</v>
      </c>
      <c r="G770" s="236">
        <v>7061</v>
      </c>
      <c r="H770" s="245"/>
      <c r="I770" s="245"/>
      <c r="J770" s="245"/>
      <c r="K770" s="27">
        <f t="shared" si="190"/>
        <v>7061</v>
      </c>
      <c r="L770" s="238"/>
      <c r="M770" s="512">
        <f t="shared" si="188"/>
        <v>50</v>
      </c>
      <c r="N770" s="239"/>
      <c r="O770" s="239"/>
      <c r="P770" s="239"/>
      <c r="Q770" s="239"/>
      <c r="R770" s="239"/>
      <c r="S770" s="240">
        <v>50</v>
      </c>
      <c r="T770" s="23"/>
      <c r="V770" s="6">
        <f t="shared" si="187"/>
        <v>0</v>
      </c>
    </row>
    <row r="771" spans="1:22" s="26" customFormat="1" ht="30">
      <c r="A771" s="204">
        <v>16</v>
      </c>
      <c r="B771" s="233" t="s">
        <v>1447</v>
      </c>
      <c r="C771" s="234" t="s">
        <v>1419</v>
      </c>
      <c r="D771" s="235" t="s">
        <v>31</v>
      </c>
      <c r="E771" s="235" t="s">
        <v>1410</v>
      </c>
      <c r="F771" s="266" t="s">
        <v>1448</v>
      </c>
      <c r="G771" s="236">
        <v>7672</v>
      </c>
      <c r="H771" s="245"/>
      <c r="I771" s="245"/>
      <c r="J771" s="245"/>
      <c r="K771" s="27">
        <f t="shared" si="190"/>
        <v>7672</v>
      </c>
      <c r="L771" s="238"/>
      <c r="M771" s="512">
        <f t="shared" si="188"/>
        <v>50</v>
      </c>
      <c r="N771" s="239"/>
      <c r="O771" s="239"/>
      <c r="P771" s="239"/>
      <c r="Q771" s="239"/>
      <c r="R771" s="239"/>
      <c r="S771" s="240">
        <v>50</v>
      </c>
      <c r="T771" s="23"/>
      <c r="V771" s="6">
        <f t="shared" si="187"/>
        <v>0</v>
      </c>
    </row>
    <row r="772" spans="1:22" s="26" customFormat="1" ht="30">
      <c r="A772" s="204">
        <v>17</v>
      </c>
      <c r="B772" s="233" t="s">
        <v>1449</v>
      </c>
      <c r="C772" s="234" t="s">
        <v>1413</v>
      </c>
      <c r="D772" s="235" t="s">
        <v>31</v>
      </c>
      <c r="E772" s="235" t="s">
        <v>1410</v>
      </c>
      <c r="F772" s="266" t="s">
        <v>1450</v>
      </c>
      <c r="G772" s="236">
        <v>6037</v>
      </c>
      <c r="H772" s="245"/>
      <c r="I772" s="245"/>
      <c r="J772" s="245"/>
      <c r="K772" s="27">
        <f t="shared" si="190"/>
        <v>6037</v>
      </c>
      <c r="L772" s="238"/>
      <c r="M772" s="512">
        <f t="shared" si="188"/>
        <v>50</v>
      </c>
      <c r="N772" s="239"/>
      <c r="O772" s="239"/>
      <c r="P772" s="239"/>
      <c r="Q772" s="239"/>
      <c r="R772" s="239"/>
      <c r="S772" s="240">
        <v>50</v>
      </c>
      <c r="T772" s="23"/>
      <c r="V772" s="6">
        <f t="shared" si="187"/>
        <v>0</v>
      </c>
    </row>
    <row r="773" spans="1:22" s="26" customFormat="1" ht="30">
      <c r="A773" s="204">
        <v>18</v>
      </c>
      <c r="B773" s="233" t="s">
        <v>1451</v>
      </c>
      <c r="C773" s="234" t="s">
        <v>1413</v>
      </c>
      <c r="D773" s="235" t="s">
        <v>31</v>
      </c>
      <c r="E773" s="235" t="s">
        <v>1410</v>
      </c>
      <c r="F773" s="266" t="s">
        <v>1452</v>
      </c>
      <c r="G773" s="236">
        <v>7512</v>
      </c>
      <c r="H773" s="245"/>
      <c r="I773" s="245"/>
      <c r="J773" s="245"/>
      <c r="K773" s="27">
        <f t="shared" si="190"/>
        <v>7512</v>
      </c>
      <c r="L773" s="238"/>
      <c r="M773" s="512">
        <f t="shared" si="188"/>
        <v>50</v>
      </c>
      <c r="N773" s="239"/>
      <c r="O773" s="239"/>
      <c r="P773" s="239"/>
      <c r="Q773" s="239"/>
      <c r="R773" s="239"/>
      <c r="S773" s="240">
        <v>50</v>
      </c>
      <c r="T773" s="23"/>
      <c r="V773" s="6">
        <f t="shared" si="187"/>
        <v>0</v>
      </c>
    </row>
    <row r="774" spans="1:22" s="26" customFormat="1" ht="30">
      <c r="A774" s="204">
        <v>19</v>
      </c>
      <c r="B774" s="233" t="s">
        <v>1453</v>
      </c>
      <c r="C774" s="234" t="s">
        <v>1413</v>
      </c>
      <c r="D774" s="235" t="s">
        <v>31</v>
      </c>
      <c r="E774" s="235" t="s">
        <v>1410</v>
      </c>
      <c r="F774" s="266" t="s">
        <v>1454</v>
      </c>
      <c r="G774" s="236">
        <v>6687</v>
      </c>
      <c r="H774" s="245"/>
      <c r="I774" s="245"/>
      <c r="J774" s="245"/>
      <c r="K774" s="27">
        <f t="shared" si="190"/>
        <v>6687</v>
      </c>
      <c r="L774" s="238"/>
      <c r="M774" s="512">
        <f t="shared" si="188"/>
        <v>50</v>
      </c>
      <c r="N774" s="239"/>
      <c r="O774" s="239"/>
      <c r="P774" s="239"/>
      <c r="Q774" s="239"/>
      <c r="R774" s="239"/>
      <c r="S774" s="240">
        <v>50</v>
      </c>
      <c r="T774" s="23"/>
      <c r="V774" s="6">
        <f t="shared" si="187"/>
        <v>0</v>
      </c>
    </row>
    <row r="775" spans="1:22" s="26" customFormat="1" ht="30">
      <c r="A775" s="204">
        <v>20</v>
      </c>
      <c r="B775" s="233" t="s">
        <v>1455</v>
      </c>
      <c r="C775" s="234" t="s">
        <v>1413</v>
      </c>
      <c r="D775" s="235" t="s">
        <v>31</v>
      </c>
      <c r="E775" s="235" t="s">
        <v>1410</v>
      </c>
      <c r="F775" s="266" t="s">
        <v>1456</v>
      </c>
      <c r="G775" s="236">
        <v>14971</v>
      </c>
      <c r="H775" s="245"/>
      <c r="I775" s="245"/>
      <c r="J775" s="245"/>
      <c r="K775" s="27">
        <f t="shared" si="190"/>
        <v>14971</v>
      </c>
      <c r="L775" s="238"/>
      <c r="M775" s="512">
        <f t="shared" si="188"/>
        <v>100</v>
      </c>
      <c r="N775" s="239"/>
      <c r="O775" s="239"/>
      <c r="P775" s="239"/>
      <c r="Q775" s="239"/>
      <c r="R775" s="239"/>
      <c r="S775" s="240">
        <v>100</v>
      </c>
      <c r="T775" s="23"/>
      <c r="V775" s="6">
        <f t="shared" si="187"/>
        <v>0</v>
      </c>
    </row>
    <row r="776" spans="1:22" s="26" customFormat="1" ht="30">
      <c r="A776" s="204">
        <v>21</v>
      </c>
      <c r="B776" s="233" t="s">
        <v>1457</v>
      </c>
      <c r="C776" s="234" t="s">
        <v>1429</v>
      </c>
      <c r="D776" s="235" t="s">
        <v>31</v>
      </c>
      <c r="E776" s="235" t="s">
        <v>1410</v>
      </c>
      <c r="F776" s="266" t="s">
        <v>1458</v>
      </c>
      <c r="G776" s="236">
        <v>10705</v>
      </c>
      <c r="H776" s="245"/>
      <c r="I776" s="245"/>
      <c r="J776" s="245"/>
      <c r="K776" s="27">
        <f t="shared" si="190"/>
        <v>10705</v>
      </c>
      <c r="L776" s="246"/>
      <c r="M776" s="512">
        <f t="shared" si="188"/>
        <v>50</v>
      </c>
      <c r="N776" s="239"/>
      <c r="O776" s="239"/>
      <c r="P776" s="239"/>
      <c r="Q776" s="239"/>
      <c r="R776" s="239"/>
      <c r="S776" s="240">
        <v>50</v>
      </c>
      <c r="T776" s="23"/>
      <c r="V776" s="6">
        <f t="shared" si="187"/>
        <v>0</v>
      </c>
    </row>
    <row r="777" spans="1:22" s="26" customFormat="1" ht="30">
      <c r="A777" s="204">
        <v>22</v>
      </c>
      <c r="B777" s="233" t="s">
        <v>1459</v>
      </c>
      <c r="C777" s="234" t="s">
        <v>1436</v>
      </c>
      <c r="D777" s="235" t="s">
        <v>31</v>
      </c>
      <c r="E777" s="235" t="s">
        <v>1410</v>
      </c>
      <c r="F777" s="266" t="s">
        <v>1460</v>
      </c>
      <c r="G777" s="236">
        <v>14900</v>
      </c>
      <c r="H777" s="245"/>
      <c r="I777" s="245"/>
      <c r="J777" s="245"/>
      <c r="K777" s="27">
        <f t="shared" si="190"/>
        <v>14900</v>
      </c>
      <c r="L777" s="246"/>
      <c r="M777" s="512">
        <f t="shared" si="188"/>
        <v>50</v>
      </c>
      <c r="N777" s="239"/>
      <c r="O777" s="239"/>
      <c r="P777" s="239"/>
      <c r="Q777" s="239"/>
      <c r="R777" s="239"/>
      <c r="S777" s="240">
        <v>50</v>
      </c>
      <c r="T777" s="23"/>
      <c r="V777" s="6">
        <f t="shared" si="187"/>
        <v>0</v>
      </c>
    </row>
    <row r="778" spans="1:22" s="26" customFormat="1" ht="30">
      <c r="A778" s="204">
        <v>23</v>
      </c>
      <c r="B778" s="233" t="s">
        <v>1461</v>
      </c>
      <c r="C778" s="234" t="s">
        <v>1413</v>
      </c>
      <c r="D778" s="235" t="s">
        <v>26</v>
      </c>
      <c r="E778" s="235" t="s">
        <v>1437</v>
      </c>
      <c r="F778" s="266" t="s">
        <v>1462</v>
      </c>
      <c r="G778" s="236">
        <v>326250</v>
      </c>
      <c r="H778" s="245"/>
      <c r="I778" s="245"/>
      <c r="J778" s="245"/>
      <c r="K778" s="27">
        <f t="shared" si="190"/>
        <v>326250</v>
      </c>
      <c r="L778" s="246"/>
      <c r="M778" s="512">
        <f t="shared" si="188"/>
        <v>100</v>
      </c>
      <c r="N778" s="239"/>
      <c r="O778" s="239"/>
      <c r="P778" s="239"/>
      <c r="Q778" s="239"/>
      <c r="R778" s="239"/>
      <c r="S778" s="240">
        <v>100</v>
      </c>
      <c r="T778" s="23"/>
      <c r="V778" s="6">
        <f t="shared" si="187"/>
        <v>0</v>
      </c>
    </row>
    <row r="779" spans="1:22" s="26" customFormat="1" ht="26.25" customHeight="1">
      <c r="A779" s="468" t="s">
        <v>69</v>
      </c>
      <c r="B779" s="523" t="s">
        <v>70</v>
      </c>
      <c r="C779" s="533"/>
      <c r="D779" s="533"/>
      <c r="E779" s="533"/>
      <c r="F779" s="534"/>
      <c r="G779" s="534">
        <f>G780+G781+G784</f>
        <v>1113452.9580000001</v>
      </c>
      <c r="H779" s="534">
        <f t="shared" ref="H779:S779" si="191">H780+H781+H784</f>
        <v>0</v>
      </c>
      <c r="I779" s="534">
        <f t="shared" si="191"/>
        <v>0</v>
      </c>
      <c r="J779" s="534">
        <f t="shared" si="191"/>
        <v>0</v>
      </c>
      <c r="K779" s="534">
        <f t="shared" si="191"/>
        <v>1113452.9580000001</v>
      </c>
      <c r="L779" s="534">
        <f t="shared" si="191"/>
        <v>0</v>
      </c>
      <c r="M779" s="534">
        <f t="shared" si="191"/>
        <v>588264.6</v>
      </c>
      <c r="N779" s="534"/>
      <c r="O779" s="534"/>
      <c r="P779" s="534"/>
      <c r="Q779" s="534"/>
      <c r="R779" s="534"/>
      <c r="S779" s="534">
        <f t="shared" si="191"/>
        <v>588264.6</v>
      </c>
      <c r="T779" s="535"/>
      <c r="V779" s="6">
        <f t="shared" si="187"/>
        <v>0</v>
      </c>
    </row>
    <row r="780" spans="1:22" s="26" customFormat="1" ht="30">
      <c r="A780" s="247" t="s">
        <v>71</v>
      </c>
      <c r="B780" s="232" t="s">
        <v>1259</v>
      </c>
      <c r="C780" s="248"/>
      <c r="D780" s="249"/>
      <c r="E780" s="250"/>
      <c r="F780" s="251"/>
      <c r="G780" s="252">
        <v>0</v>
      </c>
      <c r="H780" s="252">
        <v>0</v>
      </c>
      <c r="I780" s="252">
        <v>0</v>
      </c>
      <c r="J780" s="252">
        <v>0</v>
      </c>
      <c r="K780" s="252">
        <v>0</v>
      </c>
      <c r="L780" s="252">
        <v>0</v>
      </c>
      <c r="M780" s="512">
        <f t="shared" si="188"/>
        <v>0</v>
      </c>
      <c r="N780" s="251"/>
      <c r="O780" s="251"/>
      <c r="P780" s="251"/>
      <c r="Q780" s="251"/>
      <c r="R780" s="251"/>
      <c r="S780" s="252">
        <v>0</v>
      </c>
      <c r="T780" s="23"/>
      <c r="V780" s="6">
        <f t="shared" si="187"/>
        <v>0</v>
      </c>
    </row>
    <row r="781" spans="1:22" s="26" customFormat="1">
      <c r="A781" s="248" t="s">
        <v>82</v>
      </c>
      <c r="B781" s="232" t="s">
        <v>1272</v>
      </c>
      <c r="C781" s="253"/>
      <c r="D781" s="17"/>
      <c r="E781" s="211"/>
      <c r="F781" s="254"/>
      <c r="G781" s="255">
        <f t="shared" ref="G781:M781" si="192">SUM(G782:G783)</f>
        <v>306150</v>
      </c>
      <c r="H781" s="256">
        <f t="shared" si="192"/>
        <v>0</v>
      </c>
      <c r="I781" s="256">
        <f t="shared" si="192"/>
        <v>0</v>
      </c>
      <c r="J781" s="256">
        <f t="shared" si="192"/>
        <v>0</v>
      </c>
      <c r="K781" s="256">
        <f t="shared" si="192"/>
        <v>306150</v>
      </c>
      <c r="L781" s="256">
        <f t="shared" si="192"/>
        <v>0</v>
      </c>
      <c r="M781" s="255">
        <f t="shared" si="192"/>
        <v>2935</v>
      </c>
      <c r="N781" s="257"/>
      <c r="O781" s="257"/>
      <c r="P781" s="257"/>
      <c r="Q781" s="257"/>
      <c r="R781" s="257"/>
      <c r="S781" s="255">
        <f>SUM(S782:S783)</f>
        <v>2935</v>
      </c>
      <c r="T781" s="23"/>
      <c r="V781" s="6">
        <f t="shared" si="187"/>
        <v>0</v>
      </c>
    </row>
    <row r="782" spans="1:22" s="26" customFormat="1" ht="45">
      <c r="A782" s="244">
        <v>1</v>
      </c>
      <c r="B782" s="16" t="s">
        <v>1463</v>
      </c>
      <c r="C782" s="235" t="s">
        <v>1464</v>
      </c>
      <c r="D782" s="235" t="s">
        <v>26</v>
      </c>
      <c r="E782" s="235" t="s">
        <v>218</v>
      </c>
      <c r="F782" s="235" t="s">
        <v>1465</v>
      </c>
      <c r="G782" s="236">
        <v>54153</v>
      </c>
      <c r="H782" s="258"/>
      <c r="I782" s="258"/>
      <c r="J782" s="258"/>
      <c r="K782" s="246">
        <v>54153</v>
      </c>
      <c r="L782" s="246"/>
      <c r="M782" s="512">
        <f t="shared" si="188"/>
        <v>2341</v>
      </c>
      <c r="N782" s="239"/>
      <c r="O782" s="239"/>
      <c r="P782" s="239"/>
      <c r="Q782" s="239"/>
      <c r="R782" s="239"/>
      <c r="S782" s="240">
        <v>2341</v>
      </c>
      <c r="T782" s="23"/>
      <c r="V782" s="6">
        <f t="shared" si="187"/>
        <v>0</v>
      </c>
    </row>
    <row r="783" spans="1:22" s="26" customFormat="1" ht="75">
      <c r="A783" s="244">
        <v>2</v>
      </c>
      <c r="B783" s="16" t="s">
        <v>1466</v>
      </c>
      <c r="C783" s="235" t="s">
        <v>1464</v>
      </c>
      <c r="D783" s="235" t="s">
        <v>26</v>
      </c>
      <c r="E783" s="235" t="s">
        <v>1467</v>
      </c>
      <c r="F783" s="235" t="s">
        <v>1468</v>
      </c>
      <c r="G783" s="236">
        <v>251997</v>
      </c>
      <c r="H783" s="258"/>
      <c r="I783" s="258"/>
      <c r="J783" s="258"/>
      <c r="K783" s="246">
        <v>251997</v>
      </c>
      <c r="L783" s="246"/>
      <c r="M783" s="512">
        <f t="shared" si="188"/>
        <v>594</v>
      </c>
      <c r="N783" s="239"/>
      <c r="O783" s="239"/>
      <c r="P783" s="239"/>
      <c r="Q783" s="239"/>
      <c r="R783" s="239"/>
      <c r="S783" s="240">
        <v>594</v>
      </c>
      <c r="T783" s="23"/>
      <c r="V783" s="6">
        <f t="shared" si="187"/>
        <v>0</v>
      </c>
    </row>
    <row r="784" spans="1:22" s="26" customFormat="1" ht="30">
      <c r="A784" s="248" t="s">
        <v>102</v>
      </c>
      <c r="B784" s="232" t="s">
        <v>1158</v>
      </c>
      <c r="C784" s="253"/>
      <c r="D784" s="17"/>
      <c r="E784" s="211"/>
      <c r="F784" s="254"/>
      <c r="G784" s="252">
        <f t="shared" ref="G784:S784" si="193">SUM(G785:G862)</f>
        <v>807302.9580000001</v>
      </c>
      <c r="H784" s="259">
        <f t="shared" si="193"/>
        <v>0</v>
      </c>
      <c r="I784" s="259">
        <f t="shared" si="193"/>
        <v>0</v>
      </c>
      <c r="J784" s="259">
        <f t="shared" si="193"/>
        <v>0</v>
      </c>
      <c r="K784" s="259">
        <f t="shared" si="193"/>
        <v>807302.9580000001</v>
      </c>
      <c r="L784" s="259">
        <f t="shared" si="193"/>
        <v>0</v>
      </c>
      <c r="M784" s="252">
        <f t="shared" si="193"/>
        <v>585329.6</v>
      </c>
      <c r="N784" s="251">
        <f t="shared" si="193"/>
        <v>0</v>
      </c>
      <c r="O784" s="251">
        <f t="shared" si="193"/>
        <v>0</v>
      </c>
      <c r="P784" s="251">
        <f t="shared" si="193"/>
        <v>0</v>
      </c>
      <c r="Q784" s="251">
        <f t="shared" si="193"/>
        <v>0</v>
      </c>
      <c r="R784" s="251">
        <f t="shared" si="193"/>
        <v>0</v>
      </c>
      <c r="S784" s="252">
        <f t="shared" si="193"/>
        <v>585329.6</v>
      </c>
      <c r="T784" s="23"/>
      <c r="V784" s="6">
        <f t="shared" si="187"/>
        <v>0</v>
      </c>
    </row>
    <row r="785" spans="1:22" s="26" customFormat="1" ht="45">
      <c r="A785" s="15">
        <v>1</v>
      </c>
      <c r="B785" s="16" t="s">
        <v>1469</v>
      </c>
      <c r="C785" s="235" t="s">
        <v>1470</v>
      </c>
      <c r="D785" s="235" t="s">
        <v>26</v>
      </c>
      <c r="E785" s="235" t="s">
        <v>160</v>
      </c>
      <c r="F785" s="235" t="s">
        <v>1471</v>
      </c>
      <c r="G785" s="260">
        <v>139907</v>
      </c>
      <c r="H785" s="258"/>
      <c r="I785" s="258"/>
      <c r="J785" s="258"/>
      <c r="K785" s="261">
        <f>G785</f>
        <v>139907</v>
      </c>
      <c r="L785" s="262"/>
      <c r="M785" s="512">
        <f t="shared" si="188"/>
        <v>136371</v>
      </c>
      <c r="N785" s="239"/>
      <c r="O785" s="239"/>
      <c r="P785" s="239"/>
      <c r="Q785" s="239"/>
      <c r="R785" s="239"/>
      <c r="S785" s="263">
        <v>136371</v>
      </c>
      <c r="T785" s="23"/>
      <c r="V785" s="6">
        <f t="shared" si="187"/>
        <v>0</v>
      </c>
    </row>
    <row r="786" spans="1:22" s="26" customFormat="1" ht="30">
      <c r="A786" s="15">
        <v>2</v>
      </c>
      <c r="B786" s="16" t="s">
        <v>1472</v>
      </c>
      <c r="C786" s="235" t="s">
        <v>1416</v>
      </c>
      <c r="D786" s="235" t="s">
        <v>31</v>
      </c>
      <c r="E786" s="235" t="s">
        <v>1268</v>
      </c>
      <c r="F786" s="235" t="s">
        <v>1473</v>
      </c>
      <c r="G786" s="260">
        <v>14086</v>
      </c>
      <c r="H786" s="264"/>
      <c r="I786" s="264"/>
      <c r="J786" s="264"/>
      <c r="K786" s="261">
        <f t="shared" ref="K786:K845" si="194">G786</f>
        <v>14086</v>
      </c>
      <c r="L786" s="262"/>
      <c r="M786" s="512">
        <f t="shared" si="188"/>
        <v>10538</v>
      </c>
      <c r="N786" s="239"/>
      <c r="O786" s="239"/>
      <c r="P786" s="239"/>
      <c r="Q786" s="239"/>
      <c r="R786" s="239"/>
      <c r="S786" s="263">
        <v>10538</v>
      </c>
      <c r="T786" s="23"/>
      <c r="V786" s="6">
        <f t="shared" si="187"/>
        <v>0</v>
      </c>
    </row>
    <row r="787" spans="1:22" s="26" customFormat="1" ht="30">
      <c r="A787" s="15">
        <v>3</v>
      </c>
      <c r="B787" s="16" t="s">
        <v>1474</v>
      </c>
      <c r="C787" s="235" t="s">
        <v>1416</v>
      </c>
      <c r="D787" s="235" t="s">
        <v>31</v>
      </c>
      <c r="E787" s="235" t="s">
        <v>1268</v>
      </c>
      <c r="F787" s="235" t="s">
        <v>1475</v>
      </c>
      <c r="G787" s="260">
        <v>14677</v>
      </c>
      <c r="H787" s="264"/>
      <c r="I787" s="264"/>
      <c r="J787" s="264"/>
      <c r="K787" s="261">
        <f t="shared" si="194"/>
        <v>14677</v>
      </c>
      <c r="L787" s="262"/>
      <c r="M787" s="512">
        <f t="shared" si="188"/>
        <v>11033</v>
      </c>
      <c r="N787" s="239"/>
      <c r="O787" s="239"/>
      <c r="P787" s="239"/>
      <c r="Q787" s="239"/>
      <c r="R787" s="239"/>
      <c r="S787" s="263">
        <v>11033</v>
      </c>
      <c r="T787" s="23"/>
      <c r="V787" s="6">
        <f t="shared" si="187"/>
        <v>0</v>
      </c>
    </row>
    <row r="788" spans="1:22" s="26" customFormat="1" ht="30">
      <c r="A788" s="15">
        <v>4</v>
      </c>
      <c r="B788" s="16" t="s">
        <v>1476</v>
      </c>
      <c r="C788" s="235" t="s">
        <v>1413</v>
      </c>
      <c r="D788" s="235" t="s">
        <v>31</v>
      </c>
      <c r="E788" s="235" t="s">
        <v>112</v>
      </c>
      <c r="F788" s="235" t="s">
        <v>1477</v>
      </c>
      <c r="G788" s="260">
        <v>11338</v>
      </c>
      <c r="H788" s="264"/>
      <c r="I788" s="264"/>
      <c r="J788" s="264"/>
      <c r="K788" s="261">
        <f t="shared" si="194"/>
        <v>11338</v>
      </c>
      <c r="L788" s="262"/>
      <c r="M788" s="512">
        <f t="shared" si="188"/>
        <v>7908</v>
      </c>
      <c r="N788" s="239"/>
      <c r="O788" s="239"/>
      <c r="P788" s="239"/>
      <c r="Q788" s="239"/>
      <c r="R788" s="239"/>
      <c r="S788" s="263">
        <v>7908</v>
      </c>
      <c r="T788" s="23"/>
      <c r="V788" s="6">
        <f t="shared" ref="V788:V851" si="195">G788-H788-I788-J788-K788</f>
        <v>0</v>
      </c>
    </row>
    <row r="789" spans="1:22" s="26" customFormat="1" ht="30">
      <c r="A789" s="15">
        <v>5</v>
      </c>
      <c r="B789" s="16" t="s">
        <v>1478</v>
      </c>
      <c r="C789" s="235" t="s">
        <v>1419</v>
      </c>
      <c r="D789" s="235" t="s">
        <v>31</v>
      </c>
      <c r="E789" s="235" t="s">
        <v>1268</v>
      </c>
      <c r="F789" s="235" t="s">
        <v>1479</v>
      </c>
      <c r="G789" s="260">
        <v>14791</v>
      </c>
      <c r="H789" s="264"/>
      <c r="I789" s="264"/>
      <c r="J789" s="264"/>
      <c r="K789" s="261">
        <f t="shared" si="194"/>
        <v>14791</v>
      </c>
      <c r="L789" s="262"/>
      <c r="M789" s="512">
        <f t="shared" si="188"/>
        <v>9039</v>
      </c>
      <c r="N789" s="239"/>
      <c r="O789" s="239"/>
      <c r="P789" s="239"/>
      <c r="Q789" s="239"/>
      <c r="R789" s="239"/>
      <c r="S789" s="263">
        <v>9039</v>
      </c>
      <c r="T789" s="23"/>
      <c r="V789" s="6">
        <f t="shared" si="195"/>
        <v>0</v>
      </c>
    </row>
    <row r="790" spans="1:22" s="26" customFormat="1" ht="30">
      <c r="A790" s="15">
        <v>6</v>
      </c>
      <c r="B790" s="16" t="s">
        <v>1480</v>
      </c>
      <c r="C790" s="235" t="s">
        <v>1424</v>
      </c>
      <c r="D790" s="235" t="s">
        <v>31</v>
      </c>
      <c r="E790" s="235" t="s">
        <v>112</v>
      </c>
      <c r="F790" s="235" t="s">
        <v>1481</v>
      </c>
      <c r="G790" s="260">
        <v>13872</v>
      </c>
      <c r="H790" s="264"/>
      <c r="I790" s="264"/>
      <c r="J790" s="264"/>
      <c r="K790" s="261">
        <f t="shared" si="194"/>
        <v>13872</v>
      </c>
      <c r="L790" s="262"/>
      <c r="M790" s="512">
        <f t="shared" si="188"/>
        <v>12102</v>
      </c>
      <c r="N790" s="239"/>
      <c r="O790" s="239"/>
      <c r="P790" s="239"/>
      <c r="Q790" s="239"/>
      <c r="R790" s="239"/>
      <c r="S790" s="263">
        <v>12102</v>
      </c>
      <c r="T790" s="23"/>
      <c r="V790" s="6">
        <f t="shared" si="195"/>
        <v>0</v>
      </c>
    </row>
    <row r="791" spans="1:22" s="26" customFormat="1" ht="30">
      <c r="A791" s="15">
        <v>7</v>
      </c>
      <c r="B791" s="16" t="s">
        <v>1482</v>
      </c>
      <c r="C791" s="235" t="s">
        <v>1424</v>
      </c>
      <c r="D791" s="235" t="s">
        <v>31</v>
      </c>
      <c r="E791" s="235" t="s">
        <v>112</v>
      </c>
      <c r="F791" s="235" t="s">
        <v>1483</v>
      </c>
      <c r="G791" s="260">
        <v>14264.6</v>
      </c>
      <c r="H791" s="264"/>
      <c r="I791" s="264"/>
      <c r="J791" s="264"/>
      <c r="K791" s="261">
        <f t="shared" si="194"/>
        <v>14264.6</v>
      </c>
      <c r="L791" s="262"/>
      <c r="M791" s="512">
        <f t="shared" si="188"/>
        <v>11974.6</v>
      </c>
      <c r="N791" s="239"/>
      <c r="O791" s="239"/>
      <c r="P791" s="239"/>
      <c r="Q791" s="239"/>
      <c r="R791" s="239"/>
      <c r="S791" s="263">
        <v>11974.6</v>
      </c>
      <c r="T791" s="23"/>
      <c r="V791" s="6">
        <f t="shared" si="195"/>
        <v>0</v>
      </c>
    </row>
    <row r="792" spans="1:22" s="26" customFormat="1" ht="30">
      <c r="A792" s="15">
        <v>8</v>
      </c>
      <c r="B792" s="16" t="s">
        <v>1484</v>
      </c>
      <c r="C792" s="235" t="s">
        <v>1424</v>
      </c>
      <c r="D792" s="235" t="s">
        <v>31</v>
      </c>
      <c r="E792" s="235" t="s">
        <v>112</v>
      </c>
      <c r="F792" s="235" t="s">
        <v>1485</v>
      </c>
      <c r="G792" s="260">
        <v>13964</v>
      </c>
      <c r="H792" s="264"/>
      <c r="I792" s="264"/>
      <c r="J792" s="264"/>
      <c r="K792" s="261">
        <f t="shared" si="194"/>
        <v>13964</v>
      </c>
      <c r="L792" s="262"/>
      <c r="M792" s="512">
        <f t="shared" si="188"/>
        <v>11674</v>
      </c>
      <c r="N792" s="239"/>
      <c r="O792" s="239"/>
      <c r="P792" s="239"/>
      <c r="Q792" s="239"/>
      <c r="R792" s="239"/>
      <c r="S792" s="263">
        <v>11674</v>
      </c>
      <c r="T792" s="23"/>
      <c r="V792" s="6">
        <f t="shared" si="195"/>
        <v>0</v>
      </c>
    </row>
    <row r="793" spans="1:22" s="26" customFormat="1" ht="45">
      <c r="A793" s="15">
        <v>9</v>
      </c>
      <c r="B793" s="16" t="s">
        <v>1486</v>
      </c>
      <c r="C793" s="235" t="s">
        <v>1487</v>
      </c>
      <c r="D793" s="235" t="s">
        <v>31</v>
      </c>
      <c r="E793" s="235" t="s">
        <v>1268</v>
      </c>
      <c r="F793" s="235" t="s">
        <v>1488</v>
      </c>
      <c r="G793" s="260">
        <v>8463</v>
      </c>
      <c r="H793" s="264"/>
      <c r="I793" s="264"/>
      <c r="J793" s="264"/>
      <c r="K793" s="261">
        <f t="shared" si="194"/>
        <v>8463</v>
      </c>
      <c r="L793" s="262"/>
      <c r="M793" s="512">
        <f t="shared" si="188"/>
        <v>6973</v>
      </c>
      <c r="N793" s="239"/>
      <c r="O793" s="239"/>
      <c r="P793" s="239"/>
      <c r="Q793" s="239"/>
      <c r="R793" s="239"/>
      <c r="S793" s="263">
        <v>6973</v>
      </c>
      <c r="T793" s="23"/>
      <c r="V793" s="6">
        <f t="shared" si="195"/>
        <v>0</v>
      </c>
    </row>
    <row r="794" spans="1:22" s="26" customFormat="1" ht="30">
      <c r="A794" s="15">
        <v>10</v>
      </c>
      <c r="B794" s="16" t="s">
        <v>1489</v>
      </c>
      <c r="C794" s="235" t="s">
        <v>1424</v>
      </c>
      <c r="D794" s="235" t="s">
        <v>31</v>
      </c>
      <c r="E794" s="235" t="s">
        <v>1268</v>
      </c>
      <c r="F794" s="235" t="s">
        <v>1490</v>
      </c>
      <c r="G794" s="260">
        <v>9714</v>
      </c>
      <c r="H794" s="264"/>
      <c r="I794" s="264"/>
      <c r="J794" s="264"/>
      <c r="K794" s="261">
        <f t="shared" si="194"/>
        <v>9714</v>
      </c>
      <c r="L794" s="262"/>
      <c r="M794" s="512">
        <f t="shared" si="188"/>
        <v>6994</v>
      </c>
      <c r="N794" s="239"/>
      <c r="O794" s="239"/>
      <c r="P794" s="239"/>
      <c r="Q794" s="239"/>
      <c r="R794" s="239"/>
      <c r="S794" s="263">
        <v>6994</v>
      </c>
      <c r="T794" s="23"/>
      <c r="V794" s="6">
        <f t="shared" si="195"/>
        <v>0</v>
      </c>
    </row>
    <row r="795" spans="1:22" s="26" customFormat="1" ht="30">
      <c r="A795" s="15">
        <v>11</v>
      </c>
      <c r="B795" s="16" t="s">
        <v>1491</v>
      </c>
      <c r="C795" s="15" t="s">
        <v>1436</v>
      </c>
      <c r="D795" s="235" t="s">
        <v>31</v>
      </c>
      <c r="E795" s="235" t="s">
        <v>1314</v>
      </c>
      <c r="F795" s="235" t="s">
        <v>1492</v>
      </c>
      <c r="G795" s="260">
        <v>11532</v>
      </c>
      <c r="H795" s="265"/>
      <c r="I795" s="265"/>
      <c r="J795" s="265"/>
      <c r="K795" s="261">
        <f t="shared" si="194"/>
        <v>11532</v>
      </c>
      <c r="L795" s="262"/>
      <c r="M795" s="512">
        <f t="shared" si="188"/>
        <v>5650</v>
      </c>
      <c r="N795" s="239"/>
      <c r="O795" s="239"/>
      <c r="P795" s="239"/>
      <c r="Q795" s="239"/>
      <c r="R795" s="239"/>
      <c r="S795" s="263">
        <v>5650</v>
      </c>
      <c r="T795" s="23"/>
      <c r="V795" s="6">
        <f t="shared" si="195"/>
        <v>0</v>
      </c>
    </row>
    <row r="796" spans="1:22" s="26" customFormat="1" ht="30">
      <c r="A796" s="15">
        <v>12</v>
      </c>
      <c r="B796" s="16" t="s">
        <v>1493</v>
      </c>
      <c r="C796" s="15" t="s">
        <v>1494</v>
      </c>
      <c r="D796" s="235" t="s">
        <v>31</v>
      </c>
      <c r="E796" s="235" t="s">
        <v>1314</v>
      </c>
      <c r="F796" s="235" t="s">
        <v>1495</v>
      </c>
      <c r="G796" s="260">
        <v>22505</v>
      </c>
      <c r="H796" s="265"/>
      <c r="I796" s="265"/>
      <c r="J796" s="265"/>
      <c r="K796" s="261">
        <f t="shared" si="194"/>
        <v>22505</v>
      </c>
      <c r="L796" s="262"/>
      <c r="M796" s="512">
        <f t="shared" si="188"/>
        <v>10250</v>
      </c>
      <c r="N796" s="239"/>
      <c r="O796" s="239"/>
      <c r="P796" s="239"/>
      <c r="Q796" s="239"/>
      <c r="R796" s="239"/>
      <c r="S796" s="263">
        <v>10250</v>
      </c>
      <c r="T796" s="23"/>
      <c r="V796" s="6">
        <f t="shared" si="195"/>
        <v>0</v>
      </c>
    </row>
    <row r="797" spans="1:22" s="26" customFormat="1" ht="30">
      <c r="A797" s="15">
        <v>13</v>
      </c>
      <c r="B797" s="16" t="s">
        <v>1496</v>
      </c>
      <c r="C797" s="15" t="s">
        <v>1416</v>
      </c>
      <c r="D797" s="235" t="s">
        <v>31</v>
      </c>
      <c r="E797" s="235" t="s">
        <v>1314</v>
      </c>
      <c r="F797" s="235" t="s">
        <v>1497</v>
      </c>
      <c r="G797" s="260">
        <v>11780</v>
      </c>
      <c r="H797" s="265"/>
      <c r="I797" s="265"/>
      <c r="J797" s="265"/>
      <c r="K797" s="261">
        <f t="shared" si="194"/>
        <v>11780</v>
      </c>
      <c r="L797" s="262"/>
      <c r="M797" s="512">
        <f t="shared" si="188"/>
        <v>5650</v>
      </c>
      <c r="N797" s="239"/>
      <c r="O797" s="239"/>
      <c r="P797" s="239"/>
      <c r="Q797" s="239"/>
      <c r="R797" s="239"/>
      <c r="S797" s="263">
        <v>5650</v>
      </c>
      <c r="T797" s="23"/>
      <c r="V797" s="6">
        <f t="shared" si="195"/>
        <v>0</v>
      </c>
    </row>
    <row r="798" spans="1:22" s="26" customFormat="1" ht="30">
      <c r="A798" s="15">
        <v>14</v>
      </c>
      <c r="B798" s="16" t="s">
        <v>1498</v>
      </c>
      <c r="C798" s="15" t="s">
        <v>1436</v>
      </c>
      <c r="D798" s="235" t="s">
        <v>31</v>
      </c>
      <c r="E798" s="235" t="s">
        <v>1314</v>
      </c>
      <c r="F798" s="235" t="s">
        <v>1499</v>
      </c>
      <c r="G798" s="260">
        <v>1425</v>
      </c>
      <c r="H798" s="265"/>
      <c r="I798" s="265"/>
      <c r="J798" s="265"/>
      <c r="K798" s="261">
        <f t="shared" si="194"/>
        <v>1425</v>
      </c>
      <c r="L798" s="262"/>
      <c r="M798" s="512">
        <f t="shared" si="188"/>
        <v>1250</v>
      </c>
      <c r="N798" s="239"/>
      <c r="O798" s="239"/>
      <c r="P798" s="239"/>
      <c r="Q798" s="239"/>
      <c r="R798" s="239"/>
      <c r="S798" s="263">
        <v>1250</v>
      </c>
      <c r="T798" s="23"/>
      <c r="V798" s="6">
        <f t="shared" si="195"/>
        <v>0</v>
      </c>
    </row>
    <row r="799" spans="1:22" s="26" customFormat="1" ht="30">
      <c r="A799" s="15">
        <v>15</v>
      </c>
      <c r="B799" s="16" t="s">
        <v>1500</v>
      </c>
      <c r="C799" s="15" t="s">
        <v>1419</v>
      </c>
      <c r="D799" s="235" t="s">
        <v>31</v>
      </c>
      <c r="E799" s="235" t="s">
        <v>1314</v>
      </c>
      <c r="F799" s="235" t="s">
        <v>1501</v>
      </c>
      <c r="G799" s="260">
        <v>14998</v>
      </c>
      <c r="H799" s="265"/>
      <c r="I799" s="265"/>
      <c r="J799" s="265"/>
      <c r="K799" s="261">
        <f t="shared" si="194"/>
        <v>14998</v>
      </c>
      <c r="L799" s="262"/>
      <c r="M799" s="512">
        <f t="shared" si="188"/>
        <v>6750</v>
      </c>
      <c r="N799" s="239"/>
      <c r="O799" s="239"/>
      <c r="P799" s="239"/>
      <c r="Q799" s="239"/>
      <c r="R799" s="239"/>
      <c r="S799" s="263">
        <v>6750</v>
      </c>
      <c r="T799" s="23"/>
      <c r="V799" s="6">
        <f t="shared" si="195"/>
        <v>0</v>
      </c>
    </row>
    <row r="800" spans="1:22" s="26" customFormat="1" ht="30">
      <c r="A800" s="15">
        <v>16</v>
      </c>
      <c r="B800" s="16" t="s">
        <v>1502</v>
      </c>
      <c r="C800" s="235" t="s">
        <v>1429</v>
      </c>
      <c r="D800" s="235" t="s">
        <v>31</v>
      </c>
      <c r="E800" s="235" t="s">
        <v>1314</v>
      </c>
      <c r="F800" s="235" t="s">
        <v>1503</v>
      </c>
      <c r="G800" s="260">
        <v>14151</v>
      </c>
      <c r="H800" s="265"/>
      <c r="I800" s="265"/>
      <c r="J800" s="265"/>
      <c r="K800" s="261">
        <f t="shared" si="194"/>
        <v>14151</v>
      </c>
      <c r="L800" s="262"/>
      <c r="M800" s="512">
        <f t="shared" si="188"/>
        <v>7250</v>
      </c>
      <c r="N800" s="239"/>
      <c r="O800" s="239"/>
      <c r="P800" s="239"/>
      <c r="Q800" s="239"/>
      <c r="R800" s="239"/>
      <c r="S800" s="263">
        <v>7250</v>
      </c>
      <c r="T800" s="23"/>
      <c r="V800" s="6">
        <f t="shared" si="195"/>
        <v>0</v>
      </c>
    </row>
    <row r="801" spans="1:22" s="26" customFormat="1" ht="30">
      <c r="A801" s="15">
        <v>17</v>
      </c>
      <c r="B801" s="16" t="s">
        <v>1504</v>
      </c>
      <c r="C801" s="235" t="s">
        <v>1424</v>
      </c>
      <c r="D801" s="235" t="s">
        <v>31</v>
      </c>
      <c r="E801" s="235" t="s">
        <v>1314</v>
      </c>
      <c r="F801" s="235" t="s">
        <v>1505</v>
      </c>
      <c r="G801" s="260">
        <v>11174</v>
      </c>
      <c r="H801" s="265"/>
      <c r="I801" s="265"/>
      <c r="J801" s="265"/>
      <c r="K801" s="261">
        <f t="shared" si="194"/>
        <v>11174</v>
      </c>
      <c r="L801" s="262"/>
      <c r="M801" s="512">
        <f t="shared" si="188"/>
        <v>6250</v>
      </c>
      <c r="N801" s="239"/>
      <c r="O801" s="239"/>
      <c r="P801" s="239"/>
      <c r="Q801" s="239"/>
      <c r="R801" s="239"/>
      <c r="S801" s="263">
        <v>6250</v>
      </c>
      <c r="T801" s="23"/>
      <c r="V801" s="6">
        <f t="shared" si="195"/>
        <v>0</v>
      </c>
    </row>
    <row r="802" spans="1:22" s="26" customFormat="1" ht="30">
      <c r="A802" s="15">
        <v>18</v>
      </c>
      <c r="B802" s="16" t="s">
        <v>1506</v>
      </c>
      <c r="C802" s="235" t="s">
        <v>1424</v>
      </c>
      <c r="D802" s="235" t="s">
        <v>31</v>
      </c>
      <c r="E802" s="235" t="s">
        <v>1314</v>
      </c>
      <c r="F802" s="235" t="s">
        <v>1507</v>
      </c>
      <c r="G802" s="260">
        <v>10979</v>
      </c>
      <c r="H802" s="265"/>
      <c r="I802" s="265"/>
      <c r="J802" s="265"/>
      <c r="K802" s="261">
        <f t="shared" si="194"/>
        <v>10979</v>
      </c>
      <c r="L802" s="262"/>
      <c r="M802" s="512">
        <f t="shared" si="188"/>
        <v>6750</v>
      </c>
      <c r="N802" s="239"/>
      <c r="O802" s="239"/>
      <c r="P802" s="239"/>
      <c r="Q802" s="239"/>
      <c r="R802" s="239"/>
      <c r="S802" s="263">
        <v>6750</v>
      </c>
      <c r="T802" s="23"/>
      <c r="V802" s="6">
        <f t="shared" si="195"/>
        <v>0</v>
      </c>
    </row>
    <row r="803" spans="1:22" s="26" customFormat="1" ht="30">
      <c r="A803" s="15">
        <v>19</v>
      </c>
      <c r="B803" s="16" t="s">
        <v>1508</v>
      </c>
      <c r="C803" s="15" t="s">
        <v>1413</v>
      </c>
      <c r="D803" s="235" t="s">
        <v>31</v>
      </c>
      <c r="E803" s="235" t="s">
        <v>1314</v>
      </c>
      <c r="F803" s="235" t="s">
        <v>1509</v>
      </c>
      <c r="G803" s="260">
        <v>9798</v>
      </c>
      <c r="H803" s="265"/>
      <c r="I803" s="265"/>
      <c r="J803" s="265"/>
      <c r="K803" s="261">
        <f t="shared" si="194"/>
        <v>9798</v>
      </c>
      <c r="L803" s="262"/>
      <c r="M803" s="512">
        <f t="shared" si="188"/>
        <v>6250</v>
      </c>
      <c r="N803" s="239"/>
      <c r="O803" s="239"/>
      <c r="P803" s="239"/>
      <c r="Q803" s="239"/>
      <c r="R803" s="239"/>
      <c r="S803" s="263">
        <v>6250</v>
      </c>
      <c r="T803" s="23"/>
      <c r="V803" s="6">
        <f t="shared" si="195"/>
        <v>0</v>
      </c>
    </row>
    <row r="804" spans="1:22" s="26" customFormat="1" ht="30">
      <c r="A804" s="15">
        <v>20</v>
      </c>
      <c r="B804" s="16" t="s">
        <v>1510</v>
      </c>
      <c r="C804" s="234" t="s">
        <v>1409</v>
      </c>
      <c r="D804" s="235" t="s">
        <v>31</v>
      </c>
      <c r="E804" s="235" t="s">
        <v>1410</v>
      </c>
      <c r="F804" s="235" t="s">
        <v>1511</v>
      </c>
      <c r="G804" s="260">
        <v>10741</v>
      </c>
      <c r="H804" s="265"/>
      <c r="I804" s="265"/>
      <c r="J804" s="265"/>
      <c r="K804" s="261">
        <f t="shared" si="194"/>
        <v>10741</v>
      </c>
      <c r="L804" s="262"/>
      <c r="M804" s="512">
        <f t="shared" si="188"/>
        <v>3500</v>
      </c>
      <c r="N804" s="239"/>
      <c r="O804" s="239"/>
      <c r="P804" s="239"/>
      <c r="Q804" s="239"/>
      <c r="R804" s="239"/>
      <c r="S804" s="263">
        <v>3500</v>
      </c>
      <c r="T804" s="23"/>
      <c r="V804" s="6">
        <f t="shared" si="195"/>
        <v>0</v>
      </c>
    </row>
    <row r="805" spans="1:22" s="26" customFormat="1" ht="30">
      <c r="A805" s="15">
        <v>21</v>
      </c>
      <c r="B805" s="16" t="s">
        <v>1512</v>
      </c>
      <c r="C805" s="234" t="s">
        <v>1413</v>
      </c>
      <c r="D805" s="235" t="s">
        <v>31</v>
      </c>
      <c r="E805" s="235" t="s">
        <v>1410</v>
      </c>
      <c r="F805" s="235" t="s">
        <v>1513</v>
      </c>
      <c r="G805" s="260">
        <v>12460</v>
      </c>
      <c r="H805" s="265"/>
      <c r="I805" s="265"/>
      <c r="J805" s="265"/>
      <c r="K805" s="261">
        <f t="shared" si="194"/>
        <v>12460</v>
      </c>
      <c r="L805" s="262"/>
      <c r="M805" s="512">
        <f t="shared" si="188"/>
        <v>3500</v>
      </c>
      <c r="N805" s="239"/>
      <c r="O805" s="239"/>
      <c r="P805" s="239"/>
      <c r="Q805" s="239"/>
      <c r="R805" s="239"/>
      <c r="S805" s="263">
        <v>3500</v>
      </c>
      <c r="T805" s="23"/>
      <c r="V805" s="6">
        <f t="shared" si="195"/>
        <v>0</v>
      </c>
    </row>
    <row r="806" spans="1:22" s="26" customFormat="1" ht="30">
      <c r="A806" s="15">
        <v>22</v>
      </c>
      <c r="B806" s="16" t="s">
        <v>1514</v>
      </c>
      <c r="C806" s="234" t="s">
        <v>1416</v>
      </c>
      <c r="D806" s="235" t="s">
        <v>31</v>
      </c>
      <c r="E806" s="235" t="s">
        <v>1410</v>
      </c>
      <c r="F806" s="235" t="s">
        <v>1515</v>
      </c>
      <c r="G806" s="260">
        <v>13468</v>
      </c>
      <c r="H806" s="265"/>
      <c r="I806" s="265"/>
      <c r="J806" s="265"/>
      <c r="K806" s="261">
        <f t="shared" si="194"/>
        <v>13468</v>
      </c>
      <c r="L806" s="262"/>
      <c r="M806" s="512">
        <f t="shared" si="188"/>
        <v>2747</v>
      </c>
      <c r="N806" s="239"/>
      <c r="O806" s="239"/>
      <c r="P806" s="239"/>
      <c r="Q806" s="239"/>
      <c r="R806" s="239"/>
      <c r="S806" s="263">
        <v>2747</v>
      </c>
      <c r="T806" s="23"/>
      <c r="V806" s="6">
        <f t="shared" si="195"/>
        <v>0</v>
      </c>
    </row>
    <row r="807" spans="1:22" s="26" customFormat="1" ht="30">
      <c r="A807" s="15">
        <v>23</v>
      </c>
      <c r="B807" s="16" t="s">
        <v>1516</v>
      </c>
      <c r="C807" s="234" t="s">
        <v>1424</v>
      </c>
      <c r="D807" s="235" t="s">
        <v>31</v>
      </c>
      <c r="E807" s="235" t="s">
        <v>1410</v>
      </c>
      <c r="F807" s="235" t="s">
        <v>1517</v>
      </c>
      <c r="G807" s="260">
        <v>15798</v>
      </c>
      <c r="H807" s="265"/>
      <c r="I807" s="265"/>
      <c r="J807" s="265"/>
      <c r="K807" s="261">
        <f t="shared" si="194"/>
        <v>15798</v>
      </c>
      <c r="L807" s="262"/>
      <c r="M807" s="512">
        <f t="shared" si="188"/>
        <v>4000</v>
      </c>
      <c r="N807" s="239"/>
      <c r="O807" s="239"/>
      <c r="P807" s="239"/>
      <c r="Q807" s="239"/>
      <c r="R807" s="239"/>
      <c r="S807" s="263">
        <v>4000</v>
      </c>
      <c r="T807" s="23"/>
      <c r="V807" s="6">
        <f t="shared" si="195"/>
        <v>0</v>
      </c>
    </row>
    <row r="808" spans="1:22" s="26" customFormat="1" ht="30">
      <c r="A808" s="15">
        <v>24</v>
      </c>
      <c r="B808" s="16" t="s">
        <v>1518</v>
      </c>
      <c r="C808" s="234" t="s">
        <v>1424</v>
      </c>
      <c r="D808" s="235" t="s">
        <v>31</v>
      </c>
      <c r="E808" s="235" t="s">
        <v>1410</v>
      </c>
      <c r="F808" s="235" t="s">
        <v>1519</v>
      </c>
      <c r="G808" s="260">
        <v>19723</v>
      </c>
      <c r="H808" s="265"/>
      <c r="I808" s="265"/>
      <c r="J808" s="265"/>
      <c r="K808" s="261">
        <f t="shared" si="194"/>
        <v>19723</v>
      </c>
      <c r="L808" s="262"/>
      <c r="M808" s="512">
        <f t="shared" si="188"/>
        <v>4500</v>
      </c>
      <c r="N808" s="239"/>
      <c r="O808" s="239"/>
      <c r="P808" s="239"/>
      <c r="Q808" s="239"/>
      <c r="R808" s="239"/>
      <c r="S808" s="263">
        <v>4500</v>
      </c>
      <c r="T808" s="23"/>
      <c r="V808" s="6">
        <f t="shared" si="195"/>
        <v>0</v>
      </c>
    </row>
    <row r="809" spans="1:22" s="26" customFormat="1" ht="30">
      <c r="A809" s="15">
        <v>25</v>
      </c>
      <c r="B809" s="16" t="s">
        <v>1520</v>
      </c>
      <c r="C809" s="234" t="s">
        <v>1429</v>
      </c>
      <c r="D809" s="235" t="s">
        <v>31</v>
      </c>
      <c r="E809" s="235" t="s">
        <v>1410</v>
      </c>
      <c r="F809" s="235" t="s">
        <v>1521</v>
      </c>
      <c r="G809" s="260">
        <v>12795</v>
      </c>
      <c r="H809" s="265"/>
      <c r="I809" s="265"/>
      <c r="J809" s="265"/>
      <c r="K809" s="261">
        <f t="shared" si="194"/>
        <v>12795</v>
      </c>
      <c r="L809" s="262"/>
      <c r="M809" s="512">
        <f t="shared" si="188"/>
        <v>3000</v>
      </c>
      <c r="N809" s="239"/>
      <c r="O809" s="239"/>
      <c r="P809" s="239"/>
      <c r="Q809" s="239"/>
      <c r="R809" s="239"/>
      <c r="S809" s="263">
        <v>3000</v>
      </c>
      <c r="T809" s="23"/>
      <c r="V809" s="6">
        <f t="shared" si="195"/>
        <v>0</v>
      </c>
    </row>
    <row r="810" spans="1:22" s="26" customFormat="1" ht="30">
      <c r="A810" s="15">
        <v>26</v>
      </c>
      <c r="B810" s="16" t="s">
        <v>1522</v>
      </c>
      <c r="C810" s="235" t="s">
        <v>1429</v>
      </c>
      <c r="D810" s="235" t="s">
        <v>31</v>
      </c>
      <c r="E810" s="235" t="s">
        <v>1268</v>
      </c>
      <c r="F810" s="235" t="s">
        <v>1523</v>
      </c>
      <c r="G810" s="260">
        <v>1672</v>
      </c>
      <c r="H810" s="266"/>
      <c r="I810" s="266"/>
      <c r="J810" s="266"/>
      <c r="K810" s="261">
        <f t="shared" si="194"/>
        <v>1672</v>
      </c>
      <c r="L810" s="262"/>
      <c r="M810" s="512">
        <f t="shared" si="188"/>
        <v>1320</v>
      </c>
      <c r="N810" s="239"/>
      <c r="O810" s="239"/>
      <c r="P810" s="239"/>
      <c r="Q810" s="239"/>
      <c r="R810" s="239"/>
      <c r="S810" s="263">
        <v>1320</v>
      </c>
      <c r="T810" s="23"/>
      <c r="V810" s="6">
        <f t="shared" si="195"/>
        <v>0</v>
      </c>
    </row>
    <row r="811" spans="1:22" s="26" customFormat="1" ht="30">
      <c r="A811" s="15">
        <v>27</v>
      </c>
      <c r="B811" s="16" t="s">
        <v>1524</v>
      </c>
      <c r="C811" s="235" t="s">
        <v>1419</v>
      </c>
      <c r="D811" s="235" t="s">
        <v>31</v>
      </c>
      <c r="E811" s="235" t="s">
        <v>1268</v>
      </c>
      <c r="F811" s="235" t="s">
        <v>1525</v>
      </c>
      <c r="G811" s="260">
        <v>1158.9000000000001</v>
      </c>
      <c r="H811" s="266"/>
      <c r="I811" s="266"/>
      <c r="J811" s="266"/>
      <c r="K811" s="261">
        <f t="shared" si="194"/>
        <v>1158.9000000000001</v>
      </c>
      <c r="L811" s="262"/>
      <c r="M811" s="512">
        <f t="shared" si="188"/>
        <v>1158</v>
      </c>
      <c r="N811" s="239"/>
      <c r="O811" s="239"/>
      <c r="P811" s="239"/>
      <c r="Q811" s="239"/>
      <c r="R811" s="239"/>
      <c r="S811" s="263">
        <v>1158</v>
      </c>
      <c r="T811" s="23"/>
      <c r="V811" s="6">
        <f t="shared" si="195"/>
        <v>0</v>
      </c>
    </row>
    <row r="812" spans="1:22" s="26" customFormat="1" ht="45">
      <c r="A812" s="15">
        <v>28</v>
      </c>
      <c r="B812" s="16" t="s">
        <v>1526</v>
      </c>
      <c r="C812" s="267" t="s">
        <v>1527</v>
      </c>
      <c r="D812" s="268" t="s">
        <v>31</v>
      </c>
      <c r="E812" s="235" t="s">
        <v>1268</v>
      </c>
      <c r="F812" s="235" t="s">
        <v>1528</v>
      </c>
      <c r="G812" s="260">
        <v>1000</v>
      </c>
      <c r="H812" s="264"/>
      <c r="I812" s="264"/>
      <c r="J812" s="264"/>
      <c r="K812" s="261">
        <f t="shared" si="194"/>
        <v>1000</v>
      </c>
      <c r="L812" s="262"/>
      <c r="M812" s="512">
        <f t="shared" si="188"/>
        <v>1000</v>
      </c>
      <c r="N812" s="239"/>
      <c r="O812" s="239"/>
      <c r="P812" s="239"/>
      <c r="Q812" s="239"/>
      <c r="R812" s="239"/>
      <c r="S812" s="263">
        <v>1000</v>
      </c>
      <c r="T812" s="23"/>
      <c r="V812" s="6">
        <f t="shared" si="195"/>
        <v>0</v>
      </c>
    </row>
    <row r="813" spans="1:22" s="26" customFormat="1" ht="45">
      <c r="A813" s="15">
        <v>29</v>
      </c>
      <c r="B813" s="16" t="s">
        <v>1529</v>
      </c>
      <c r="C813" s="267" t="s">
        <v>1527</v>
      </c>
      <c r="D813" s="268" t="s">
        <v>31</v>
      </c>
      <c r="E813" s="235" t="s">
        <v>1268</v>
      </c>
      <c r="F813" s="235" t="s">
        <v>1530</v>
      </c>
      <c r="G813" s="260">
        <v>3000</v>
      </c>
      <c r="H813" s="264"/>
      <c r="I813" s="264"/>
      <c r="J813" s="264"/>
      <c r="K813" s="261">
        <f t="shared" si="194"/>
        <v>3000</v>
      </c>
      <c r="L813" s="262"/>
      <c r="M813" s="512">
        <f t="shared" si="188"/>
        <v>2808</v>
      </c>
      <c r="N813" s="239"/>
      <c r="O813" s="239"/>
      <c r="P813" s="239"/>
      <c r="Q813" s="239"/>
      <c r="R813" s="239"/>
      <c r="S813" s="263">
        <v>2808</v>
      </c>
      <c r="T813" s="23"/>
      <c r="V813" s="6">
        <f t="shared" si="195"/>
        <v>0</v>
      </c>
    </row>
    <row r="814" spans="1:22" s="26" customFormat="1" ht="30">
      <c r="A814" s="15">
        <v>30</v>
      </c>
      <c r="B814" s="16" t="s">
        <v>1531</v>
      </c>
      <c r="C814" s="267" t="s">
        <v>1424</v>
      </c>
      <c r="D814" s="268" t="s">
        <v>31</v>
      </c>
      <c r="E814" s="235" t="s">
        <v>1314</v>
      </c>
      <c r="F814" s="235" t="s">
        <v>1532</v>
      </c>
      <c r="G814" s="260">
        <v>1260</v>
      </c>
      <c r="H814" s="264"/>
      <c r="I814" s="264"/>
      <c r="J814" s="264"/>
      <c r="K814" s="261">
        <f t="shared" si="194"/>
        <v>1260</v>
      </c>
      <c r="L814" s="262"/>
      <c r="M814" s="512">
        <f t="shared" si="188"/>
        <v>1230</v>
      </c>
      <c r="N814" s="239"/>
      <c r="O814" s="239"/>
      <c r="P814" s="239"/>
      <c r="Q814" s="239"/>
      <c r="R814" s="239"/>
      <c r="S814" s="263">
        <v>1230</v>
      </c>
      <c r="T814" s="23"/>
      <c r="V814" s="6">
        <f t="shared" si="195"/>
        <v>0</v>
      </c>
    </row>
    <row r="815" spans="1:22" s="26" customFormat="1" ht="30">
      <c r="A815" s="15">
        <v>31</v>
      </c>
      <c r="B815" s="16" t="s">
        <v>1533</v>
      </c>
      <c r="C815" s="267" t="s">
        <v>1413</v>
      </c>
      <c r="D815" s="268" t="s">
        <v>31</v>
      </c>
      <c r="E815" s="235" t="s">
        <v>1314</v>
      </c>
      <c r="F815" s="235" t="s">
        <v>1534</v>
      </c>
      <c r="G815" s="260">
        <v>1083</v>
      </c>
      <c r="H815" s="264"/>
      <c r="I815" s="264"/>
      <c r="J815" s="264"/>
      <c r="K815" s="261">
        <f t="shared" si="194"/>
        <v>1083</v>
      </c>
      <c r="L815" s="262"/>
      <c r="M815" s="512">
        <f t="shared" si="188"/>
        <v>1030</v>
      </c>
      <c r="N815" s="239"/>
      <c r="O815" s="239"/>
      <c r="P815" s="239"/>
      <c r="Q815" s="239"/>
      <c r="R815" s="239"/>
      <c r="S815" s="263">
        <v>1030</v>
      </c>
      <c r="T815" s="23"/>
      <c r="V815" s="6">
        <f t="shared" si="195"/>
        <v>0</v>
      </c>
    </row>
    <row r="816" spans="1:22" s="26" customFormat="1" ht="30">
      <c r="A816" s="15">
        <v>32</v>
      </c>
      <c r="B816" s="16" t="s">
        <v>1535</v>
      </c>
      <c r="C816" s="234" t="s">
        <v>1436</v>
      </c>
      <c r="D816" s="235" t="s">
        <v>31</v>
      </c>
      <c r="E816" s="235" t="s">
        <v>1410</v>
      </c>
      <c r="F816" s="235" t="s">
        <v>1536</v>
      </c>
      <c r="G816" s="260">
        <v>5854</v>
      </c>
      <c r="H816" s="269"/>
      <c r="I816" s="269"/>
      <c r="J816" s="269"/>
      <c r="K816" s="261">
        <f t="shared" si="194"/>
        <v>5854</v>
      </c>
      <c r="L816" s="262"/>
      <c r="M816" s="512">
        <f t="shared" ref="M816:M879" si="196">SUM(N816:S816)</f>
        <v>1800</v>
      </c>
      <c r="N816" s="239"/>
      <c r="O816" s="239"/>
      <c r="P816" s="239"/>
      <c r="Q816" s="239"/>
      <c r="R816" s="239"/>
      <c r="S816" s="263">
        <v>1800</v>
      </c>
      <c r="T816" s="23"/>
      <c r="V816" s="6">
        <f t="shared" si="195"/>
        <v>0</v>
      </c>
    </row>
    <row r="817" spans="1:22" s="26" customFormat="1" ht="30">
      <c r="A817" s="15">
        <v>33</v>
      </c>
      <c r="B817" s="16" t="s">
        <v>1537</v>
      </c>
      <c r="C817" s="267" t="s">
        <v>1527</v>
      </c>
      <c r="D817" s="235" t="s">
        <v>31</v>
      </c>
      <c r="E817" s="235" t="s">
        <v>112</v>
      </c>
      <c r="F817" s="235" t="s">
        <v>1538</v>
      </c>
      <c r="G817" s="260">
        <v>4806</v>
      </c>
      <c r="H817" s="270"/>
      <c r="I817" s="270"/>
      <c r="J817" s="270"/>
      <c r="K817" s="261">
        <f t="shared" si="194"/>
        <v>4806</v>
      </c>
      <c r="L817" s="262"/>
      <c r="M817" s="512">
        <f t="shared" si="196"/>
        <v>4506</v>
      </c>
      <c r="N817" s="239"/>
      <c r="O817" s="239"/>
      <c r="P817" s="239"/>
      <c r="Q817" s="239"/>
      <c r="R817" s="239"/>
      <c r="S817" s="263">
        <v>4506</v>
      </c>
      <c r="T817" s="23"/>
      <c r="V817" s="6">
        <f t="shared" si="195"/>
        <v>0</v>
      </c>
    </row>
    <row r="818" spans="1:22" s="26" customFormat="1" ht="30">
      <c r="A818" s="15">
        <v>34</v>
      </c>
      <c r="B818" s="16" t="s">
        <v>1539</v>
      </c>
      <c r="C818" s="15" t="s">
        <v>1416</v>
      </c>
      <c r="D818" s="235" t="s">
        <v>31</v>
      </c>
      <c r="E818" s="235" t="s">
        <v>112</v>
      </c>
      <c r="F818" s="235" t="s">
        <v>1540</v>
      </c>
      <c r="G818" s="260">
        <v>6050</v>
      </c>
      <c r="H818" s="270"/>
      <c r="I818" s="270"/>
      <c r="J818" s="270"/>
      <c r="K818" s="261">
        <f t="shared" si="194"/>
        <v>6050</v>
      </c>
      <c r="L818" s="262"/>
      <c r="M818" s="512">
        <f t="shared" si="196"/>
        <v>6050</v>
      </c>
      <c r="N818" s="239"/>
      <c r="O818" s="239"/>
      <c r="P818" s="239"/>
      <c r="Q818" s="239"/>
      <c r="R818" s="239"/>
      <c r="S818" s="263">
        <v>6050</v>
      </c>
      <c r="T818" s="23"/>
      <c r="V818" s="6">
        <f t="shared" si="195"/>
        <v>0</v>
      </c>
    </row>
    <row r="819" spans="1:22" s="26" customFormat="1" ht="30">
      <c r="A819" s="15">
        <v>35</v>
      </c>
      <c r="B819" s="16" t="s">
        <v>1541</v>
      </c>
      <c r="C819" s="15" t="s">
        <v>1416</v>
      </c>
      <c r="D819" s="235" t="s">
        <v>31</v>
      </c>
      <c r="E819" s="235" t="s">
        <v>112</v>
      </c>
      <c r="F819" s="235" t="s">
        <v>1542</v>
      </c>
      <c r="G819" s="260">
        <v>9915</v>
      </c>
      <c r="H819" s="270"/>
      <c r="I819" s="270"/>
      <c r="J819" s="270"/>
      <c r="K819" s="261">
        <f t="shared" si="194"/>
        <v>9915</v>
      </c>
      <c r="L819" s="262"/>
      <c r="M819" s="512">
        <f t="shared" si="196"/>
        <v>9105</v>
      </c>
      <c r="N819" s="239"/>
      <c r="O819" s="239"/>
      <c r="P819" s="239"/>
      <c r="Q819" s="239"/>
      <c r="R819" s="239"/>
      <c r="S819" s="263">
        <v>9105</v>
      </c>
      <c r="T819" s="23"/>
      <c r="V819" s="6">
        <f t="shared" si="195"/>
        <v>0</v>
      </c>
    </row>
    <row r="820" spans="1:22" s="26" customFormat="1" ht="30">
      <c r="A820" s="15">
        <v>36</v>
      </c>
      <c r="B820" s="16" t="s">
        <v>1543</v>
      </c>
      <c r="C820" s="15" t="s">
        <v>1429</v>
      </c>
      <c r="D820" s="235" t="s">
        <v>31</v>
      </c>
      <c r="E820" s="235" t="s">
        <v>112</v>
      </c>
      <c r="F820" s="235" t="s">
        <v>1540</v>
      </c>
      <c r="G820" s="260">
        <v>4445</v>
      </c>
      <c r="H820" s="270"/>
      <c r="I820" s="270"/>
      <c r="J820" s="270"/>
      <c r="K820" s="261">
        <f t="shared" si="194"/>
        <v>4445</v>
      </c>
      <c r="L820" s="262"/>
      <c r="M820" s="512">
        <f t="shared" si="196"/>
        <v>3815</v>
      </c>
      <c r="N820" s="239"/>
      <c r="O820" s="239"/>
      <c r="P820" s="239"/>
      <c r="Q820" s="239"/>
      <c r="R820" s="239"/>
      <c r="S820" s="263">
        <v>3815</v>
      </c>
      <c r="T820" s="23"/>
      <c r="V820" s="6">
        <f t="shared" si="195"/>
        <v>0</v>
      </c>
    </row>
    <row r="821" spans="1:22" s="26" customFormat="1" ht="30">
      <c r="A821" s="15">
        <v>37</v>
      </c>
      <c r="B821" s="16" t="s">
        <v>1544</v>
      </c>
      <c r="C821" s="15" t="s">
        <v>1429</v>
      </c>
      <c r="D821" s="235" t="s">
        <v>31</v>
      </c>
      <c r="E821" s="235" t="s">
        <v>1268</v>
      </c>
      <c r="F821" s="235" t="s">
        <v>1545</v>
      </c>
      <c r="G821" s="260">
        <v>3000</v>
      </c>
      <c r="H821" s="270"/>
      <c r="I821" s="270"/>
      <c r="J821" s="270"/>
      <c r="K821" s="261">
        <f t="shared" si="194"/>
        <v>3000</v>
      </c>
      <c r="L821" s="262"/>
      <c r="M821" s="512">
        <f t="shared" si="196"/>
        <v>2300</v>
      </c>
      <c r="N821" s="239"/>
      <c r="O821" s="239"/>
      <c r="P821" s="239"/>
      <c r="Q821" s="239"/>
      <c r="R821" s="239"/>
      <c r="S821" s="263">
        <v>2300</v>
      </c>
      <c r="T821" s="23"/>
      <c r="V821" s="6">
        <f t="shared" si="195"/>
        <v>0</v>
      </c>
    </row>
    <row r="822" spans="1:22" s="26" customFormat="1" ht="30">
      <c r="A822" s="15">
        <v>38</v>
      </c>
      <c r="B822" s="16" t="s">
        <v>1546</v>
      </c>
      <c r="C822" s="15" t="s">
        <v>1409</v>
      </c>
      <c r="D822" s="235" t="s">
        <v>31</v>
      </c>
      <c r="E822" s="235" t="s">
        <v>112</v>
      </c>
      <c r="F822" s="235" t="s">
        <v>1547</v>
      </c>
      <c r="G822" s="260">
        <v>10778</v>
      </c>
      <c r="H822" s="270"/>
      <c r="I822" s="270"/>
      <c r="J822" s="270"/>
      <c r="K822" s="261">
        <f t="shared" si="194"/>
        <v>10778</v>
      </c>
      <c r="L822" s="262"/>
      <c r="M822" s="512">
        <f t="shared" si="196"/>
        <v>10338</v>
      </c>
      <c r="N822" s="239"/>
      <c r="O822" s="239"/>
      <c r="P822" s="239"/>
      <c r="Q822" s="239"/>
      <c r="R822" s="239"/>
      <c r="S822" s="263">
        <v>10338</v>
      </c>
      <c r="T822" s="23"/>
      <c r="V822" s="6">
        <f t="shared" si="195"/>
        <v>0</v>
      </c>
    </row>
    <row r="823" spans="1:22" s="26" customFormat="1" ht="30">
      <c r="A823" s="15">
        <v>39</v>
      </c>
      <c r="B823" s="16" t="s">
        <v>1548</v>
      </c>
      <c r="C823" s="15" t="s">
        <v>1409</v>
      </c>
      <c r="D823" s="235" t="s">
        <v>31</v>
      </c>
      <c r="E823" s="235" t="s">
        <v>112</v>
      </c>
      <c r="F823" s="235" t="s">
        <v>1549</v>
      </c>
      <c r="G823" s="260">
        <v>2654</v>
      </c>
      <c r="H823" s="270"/>
      <c r="I823" s="270"/>
      <c r="J823" s="270"/>
      <c r="K823" s="261">
        <f t="shared" si="194"/>
        <v>2654</v>
      </c>
      <c r="L823" s="262"/>
      <c r="M823" s="512">
        <f t="shared" si="196"/>
        <v>2479</v>
      </c>
      <c r="N823" s="239"/>
      <c r="O823" s="239"/>
      <c r="P823" s="239"/>
      <c r="Q823" s="239"/>
      <c r="R823" s="239"/>
      <c r="S823" s="263">
        <v>2479</v>
      </c>
      <c r="T823" s="23"/>
      <c r="V823" s="6">
        <f t="shared" si="195"/>
        <v>0</v>
      </c>
    </row>
    <row r="824" spans="1:22" s="26" customFormat="1" ht="30">
      <c r="A824" s="15">
        <v>40</v>
      </c>
      <c r="B824" s="16" t="s">
        <v>1550</v>
      </c>
      <c r="C824" s="15" t="s">
        <v>1419</v>
      </c>
      <c r="D824" s="235" t="s">
        <v>31</v>
      </c>
      <c r="E824" s="235" t="s">
        <v>1268</v>
      </c>
      <c r="F824" s="235" t="s">
        <v>1551</v>
      </c>
      <c r="G824" s="260">
        <v>8000</v>
      </c>
      <c r="H824" s="270"/>
      <c r="I824" s="270"/>
      <c r="J824" s="270"/>
      <c r="K824" s="261">
        <f t="shared" si="194"/>
        <v>8000</v>
      </c>
      <c r="L824" s="262"/>
      <c r="M824" s="512">
        <f t="shared" si="196"/>
        <v>6333</v>
      </c>
      <c r="N824" s="239"/>
      <c r="O824" s="239"/>
      <c r="P824" s="239"/>
      <c r="Q824" s="239"/>
      <c r="R824" s="239"/>
      <c r="S824" s="263">
        <v>6333</v>
      </c>
      <c r="T824" s="23"/>
      <c r="V824" s="6">
        <f t="shared" si="195"/>
        <v>0</v>
      </c>
    </row>
    <row r="825" spans="1:22" s="26" customFormat="1" ht="30">
      <c r="A825" s="15">
        <v>41</v>
      </c>
      <c r="B825" s="16" t="s">
        <v>1552</v>
      </c>
      <c r="C825" s="267" t="s">
        <v>1413</v>
      </c>
      <c r="D825" s="235" t="s">
        <v>31</v>
      </c>
      <c r="E825" s="235" t="s">
        <v>112</v>
      </c>
      <c r="F825" s="235" t="s">
        <v>1553</v>
      </c>
      <c r="G825" s="260">
        <v>21406</v>
      </c>
      <c r="H825" s="270"/>
      <c r="I825" s="270"/>
      <c r="J825" s="270"/>
      <c r="K825" s="261">
        <f t="shared" si="194"/>
        <v>21406</v>
      </c>
      <c r="L825" s="262"/>
      <c r="M825" s="512">
        <f t="shared" si="196"/>
        <v>16006</v>
      </c>
      <c r="N825" s="239"/>
      <c r="O825" s="239"/>
      <c r="P825" s="239"/>
      <c r="Q825" s="239"/>
      <c r="R825" s="239"/>
      <c r="S825" s="263">
        <v>16006</v>
      </c>
      <c r="T825" s="23"/>
      <c r="V825" s="6">
        <f t="shared" si="195"/>
        <v>0</v>
      </c>
    </row>
    <row r="826" spans="1:22" s="26" customFormat="1" ht="30">
      <c r="A826" s="15">
        <v>42</v>
      </c>
      <c r="B826" s="16" t="s">
        <v>1554</v>
      </c>
      <c r="C826" s="15" t="s">
        <v>1424</v>
      </c>
      <c r="D826" s="235" t="s">
        <v>31</v>
      </c>
      <c r="E826" s="235" t="s">
        <v>112</v>
      </c>
      <c r="F826" s="235" t="s">
        <v>1555</v>
      </c>
      <c r="G826" s="260">
        <v>21490</v>
      </c>
      <c r="H826" s="270"/>
      <c r="I826" s="270"/>
      <c r="J826" s="270"/>
      <c r="K826" s="261">
        <f t="shared" si="194"/>
        <v>21490</v>
      </c>
      <c r="L826" s="262"/>
      <c r="M826" s="512">
        <f t="shared" si="196"/>
        <v>15910</v>
      </c>
      <c r="N826" s="239"/>
      <c r="O826" s="239"/>
      <c r="P826" s="239"/>
      <c r="Q826" s="239"/>
      <c r="R826" s="239"/>
      <c r="S826" s="263">
        <v>15910</v>
      </c>
      <c r="T826" s="23"/>
      <c r="V826" s="6">
        <f t="shared" si="195"/>
        <v>0</v>
      </c>
    </row>
    <row r="827" spans="1:22" s="26" customFormat="1" ht="30">
      <c r="A827" s="15">
        <v>43</v>
      </c>
      <c r="B827" s="16" t="s">
        <v>1556</v>
      </c>
      <c r="C827" s="15" t="s">
        <v>1527</v>
      </c>
      <c r="D827" s="235" t="s">
        <v>31</v>
      </c>
      <c r="E827" s="235" t="s">
        <v>112</v>
      </c>
      <c r="F827" s="235" t="s">
        <v>1557</v>
      </c>
      <c r="G827" s="260">
        <v>23994</v>
      </c>
      <c r="H827" s="270"/>
      <c r="I827" s="270"/>
      <c r="J827" s="270"/>
      <c r="K827" s="261">
        <f t="shared" si="194"/>
        <v>23994</v>
      </c>
      <c r="L827" s="262"/>
      <c r="M827" s="512">
        <f t="shared" si="196"/>
        <v>22127</v>
      </c>
      <c r="N827" s="239"/>
      <c r="O827" s="239"/>
      <c r="P827" s="239"/>
      <c r="Q827" s="239"/>
      <c r="R827" s="239"/>
      <c r="S827" s="263">
        <v>22127</v>
      </c>
      <c r="T827" s="23"/>
      <c r="V827" s="6">
        <f t="shared" si="195"/>
        <v>0</v>
      </c>
    </row>
    <row r="828" spans="1:22" s="26" customFormat="1" ht="30">
      <c r="A828" s="15">
        <v>44</v>
      </c>
      <c r="B828" s="16" t="s">
        <v>1558</v>
      </c>
      <c r="C828" s="15" t="s">
        <v>64</v>
      </c>
      <c r="D828" s="235" t="s">
        <v>31</v>
      </c>
      <c r="E828" s="235" t="s">
        <v>1268</v>
      </c>
      <c r="F828" s="235" t="s">
        <v>1559</v>
      </c>
      <c r="G828" s="260">
        <v>13000</v>
      </c>
      <c r="H828" s="270"/>
      <c r="I828" s="270"/>
      <c r="J828" s="270"/>
      <c r="K828" s="261">
        <f t="shared" si="194"/>
        <v>13000</v>
      </c>
      <c r="L828" s="271"/>
      <c r="M828" s="512">
        <f t="shared" si="196"/>
        <v>12600</v>
      </c>
      <c r="N828" s="239"/>
      <c r="O828" s="239"/>
      <c r="P828" s="239"/>
      <c r="Q828" s="239"/>
      <c r="R828" s="239"/>
      <c r="S828" s="263">
        <v>12600</v>
      </c>
      <c r="T828" s="23"/>
      <c r="V828" s="6">
        <f t="shared" si="195"/>
        <v>0</v>
      </c>
    </row>
    <row r="829" spans="1:22" s="26" customFormat="1" ht="30">
      <c r="A829" s="15">
        <v>45</v>
      </c>
      <c r="B829" s="16" t="s">
        <v>1560</v>
      </c>
      <c r="C829" s="267" t="s">
        <v>1527</v>
      </c>
      <c r="D829" s="235" t="s">
        <v>31</v>
      </c>
      <c r="E829" s="235" t="s">
        <v>1268</v>
      </c>
      <c r="F829" s="235" t="s">
        <v>1561</v>
      </c>
      <c r="G829" s="260">
        <v>2500</v>
      </c>
      <c r="H829" s="264"/>
      <c r="I829" s="264"/>
      <c r="J829" s="264"/>
      <c r="K829" s="261">
        <f t="shared" si="194"/>
        <v>2500</v>
      </c>
      <c r="L829" s="271"/>
      <c r="M829" s="512">
        <f t="shared" si="196"/>
        <v>1615</v>
      </c>
      <c r="N829" s="239"/>
      <c r="O829" s="239"/>
      <c r="P829" s="239"/>
      <c r="Q829" s="239"/>
      <c r="R829" s="239"/>
      <c r="S829" s="263">
        <v>1615</v>
      </c>
      <c r="T829" s="23"/>
      <c r="V829" s="6">
        <f t="shared" si="195"/>
        <v>0</v>
      </c>
    </row>
    <row r="830" spans="1:22" s="26" customFormat="1" ht="30">
      <c r="A830" s="15">
        <v>46</v>
      </c>
      <c r="B830" s="16" t="s">
        <v>1562</v>
      </c>
      <c r="C830" s="235" t="s">
        <v>1416</v>
      </c>
      <c r="D830" s="235" t="s">
        <v>31</v>
      </c>
      <c r="E830" s="235" t="s">
        <v>1314</v>
      </c>
      <c r="F830" s="235" t="s">
        <v>1563</v>
      </c>
      <c r="G830" s="260">
        <v>2122</v>
      </c>
      <c r="H830" s="265"/>
      <c r="I830" s="265"/>
      <c r="J830" s="265"/>
      <c r="K830" s="261">
        <f t="shared" si="194"/>
        <v>2122</v>
      </c>
      <c r="L830" s="262"/>
      <c r="M830" s="512">
        <f t="shared" si="196"/>
        <v>1550</v>
      </c>
      <c r="N830" s="239"/>
      <c r="O830" s="239"/>
      <c r="P830" s="239"/>
      <c r="Q830" s="239"/>
      <c r="R830" s="239"/>
      <c r="S830" s="263">
        <v>1550</v>
      </c>
      <c r="T830" s="23"/>
      <c r="V830" s="6">
        <f t="shared" si="195"/>
        <v>0</v>
      </c>
    </row>
    <row r="831" spans="1:22" s="26" customFormat="1" ht="30">
      <c r="A831" s="15">
        <v>47</v>
      </c>
      <c r="B831" s="16" t="s">
        <v>1564</v>
      </c>
      <c r="C831" s="235" t="s">
        <v>1429</v>
      </c>
      <c r="D831" s="235" t="s">
        <v>31</v>
      </c>
      <c r="E831" s="235" t="s">
        <v>1314</v>
      </c>
      <c r="F831" s="235" t="s">
        <v>1565</v>
      </c>
      <c r="G831" s="260">
        <v>46700</v>
      </c>
      <c r="H831" s="265"/>
      <c r="I831" s="265"/>
      <c r="J831" s="265"/>
      <c r="K831" s="261">
        <f t="shared" si="194"/>
        <v>46700</v>
      </c>
      <c r="L831" s="262"/>
      <c r="M831" s="512">
        <f t="shared" si="196"/>
        <v>20930</v>
      </c>
      <c r="N831" s="239"/>
      <c r="O831" s="239"/>
      <c r="P831" s="239"/>
      <c r="Q831" s="239"/>
      <c r="R831" s="239"/>
      <c r="S831" s="263">
        <v>20930</v>
      </c>
      <c r="T831" s="23"/>
      <c r="V831" s="6">
        <f t="shared" si="195"/>
        <v>0</v>
      </c>
    </row>
    <row r="832" spans="1:22" s="26" customFormat="1" ht="30">
      <c r="A832" s="15">
        <v>48</v>
      </c>
      <c r="B832" s="16" t="s">
        <v>1566</v>
      </c>
      <c r="C832" s="15" t="s">
        <v>1419</v>
      </c>
      <c r="D832" s="235" t="s">
        <v>31</v>
      </c>
      <c r="E832" s="235" t="s">
        <v>1314</v>
      </c>
      <c r="F832" s="235" t="s">
        <v>1567</v>
      </c>
      <c r="G832" s="260">
        <v>14750</v>
      </c>
      <c r="H832" s="265"/>
      <c r="I832" s="265"/>
      <c r="J832" s="265"/>
      <c r="K832" s="261">
        <f t="shared" si="194"/>
        <v>14750</v>
      </c>
      <c r="L832" s="271"/>
      <c r="M832" s="512">
        <f t="shared" si="196"/>
        <v>8250</v>
      </c>
      <c r="N832" s="239"/>
      <c r="O832" s="239"/>
      <c r="P832" s="239"/>
      <c r="Q832" s="239"/>
      <c r="R832" s="239"/>
      <c r="S832" s="263">
        <v>8250</v>
      </c>
      <c r="T832" s="23"/>
      <c r="V832" s="6">
        <f t="shared" si="195"/>
        <v>0</v>
      </c>
    </row>
    <row r="833" spans="1:22" s="26" customFormat="1" ht="30">
      <c r="A833" s="15">
        <v>49</v>
      </c>
      <c r="B833" s="16" t="s">
        <v>1568</v>
      </c>
      <c r="C833" s="235" t="s">
        <v>1569</v>
      </c>
      <c r="D833" s="235" t="s">
        <v>31</v>
      </c>
      <c r="E833" s="235" t="s">
        <v>1314</v>
      </c>
      <c r="F833" s="235" t="s">
        <v>1570</v>
      </c>
      <c r="G833" s="260">
        <v>14900</v>
      </c>
      <c r="H833" s="265"/>
      <c r="I833" s="265"/>
      <c r="J833" s="265"/>
      <c r="K833" s="261">
        <f t="shared" si="194"/>
        <v>14900</v>
      </c>
      <c r="L833" s="271"/>
      <c r="M833" s="512">
        <f t="shared" si="196"/>
        <v>11520</v>
      </c>
      <c r="N833" s="239"/>
      <c r="O833" s="239"/>
      <c r="P833" s="239"/>
      <c r="Q833" s="239"/>
      <c r="R833" s="239"/>
      <c r="S833" s="263">
        <v>11520</v>
      </c>
      <c r="T833" s="23"/>
      <c r="V833" s="6">
        <f t="shared" si="195"/>
        <v>0</v>
      </c>
    </row>
    <row r="834" spans="1:22" s="26" customFormat="1" ht="30">
      <c r="A834" s="15">
        <v>50</v>
      </c>
      <c r="B834" s="16" t="s">
        <v>1571</v>
      </c>
      <c r="C834" s="235" t="s">
        <v>1527</v>
      </c>
      <c r="D834" s="235" t="s">
        <v>26</v>
      </c>
      <c r="E834" s="235" t="s">
        <v>160</v>
      </c>
      <c r="F834" s="235" t="s">
        <v>1572</v>
      </c>
      <c r="G834" s="260">
        <v>74822</v>
      </c>
      <c r="H834" s="270"/>
      <c r="I834" s="270"/>
      <c r="J834" s="270"/>
      <c r="K834" s="261">
        <f t="shared" si="194"/>
        <v>74822</v>
      </c>
      <c r="L834" s="271"/>
      <c r="M834" s="512">
        <f t="shared" si="196"/>
        <v>70414</v>
      </c>
      <c r="N834" s="239"/>
      <c r="O834" s="239"/>
      <c r="P834" s="239"/>
      <c r="Q834" s="239"/>
      <c r="R834" s="239"/>
      <c r="S834" s="263">
        <v>70414</v>
      </c>
      <c r="T834" s="23"/>
      <c r="V834" s="6">
        <f t="shared" si="195"/>
        <v>0</v>
      </c>
    </row>
    <row r="835" spans="1:22" s="26" customFormat="1" ht="30">
      <c r="A835" s="15">
        <v>51</v>
      </c>
      <c r="B835" s="16" t="s">
        <v>1573</v>
      </c>
      <c r="C835" s="235" t="s">
        <v>1527</v>
      </c>
      <c r="D835" s="235" t="s">
        <v>31</v>
      </c>
      <c r="E835" s="235" t="s">
        <v>112</v>
      </c>
      <c r="F835" s="235" t="s">
        <v>1574</v>
      </c>
      <c r="G835" s="260">
        <v>1688</v>
      </c>
      <c r="H835" s="270"/>
      <c r="I835" s="270"/>
      <c r="J835" s="270"/>
      <c r="K835" s="261">
        <f t="shared" si="194"/>
        <v>1688</v>
      </c>
      <c r="L835" s="271"/>
      <c r="M835" s="512">
        <f t="shared" si="196"/>
        <v>1508</v>
      </c>
      <c r="N835" s="239"/>
      <c r="O835" s="239"/>
      <c r="P835" s="239"/>
      <c r="Q835" s="239"/>
      <c r="R835" s="239"/>
      <c r="S835" s="263">
        <v>1508</v>
      </c>
      <c r="T835" s="23"/>
      <c r="V835" s="6">
        <f t="shared" si="195"/>
        <v>0</v>
      </c>
    </row>
    <row r="836" spans="1:22" s="26" customFormat="1" ht="30">
      <c r="A836" s="15">
        <v>52</v>
      </c>
      <c r="B836" s="16" t="s">
        <v>1575</v>
      </c>
      <c r="C836" s="235" t="s">
        <v>1527</v>
      </c>
      <c r="D836" s="235" t="s">
        <v>31</v>
      </c>
      <c r="E836" s="235" t="s">
        <v>1268</v>
      </c>
      <c r="F836" s="235" t="s">
        <v>1576</v>
      </c>
      <c r="G836" s="260">
        <v>791</v>
      </c>
      <c r="H836" s="264"/>
      <c r="I836" s="264"/>
      <c r="J836" s="264"/>
      <c r="K836" s="261">
        <f t="shared" si="194"/>
        <v>791</v>
      </c>
      <c r="L836" s="246"/>
      <c r="M836" s="512">
        <f t="shared" si="196"/>
        <v>522</v>
      </c>
      <c r="N836" s="239"/>
      <c r="O836" s="239"/>
      <c r="P836" s="239"/>
      <c r="Q836" s="239"/>
      <c r="R836" s="239"/>
      <c r="S836" s="240">
        <v>522</v>
      </c>
      <c r="T836" s="23"/>
      <c r="V836" s="6">
        <f t="shared" si="195"/>
        <v>0</v>
      </c>
    </row>
    <row r="837" spans="1:22" s="26" customFormat="1" ht="30">
      <c r="A837" s="15">
        <v>53</v>
      </c>
      <c r="B837" s="16" t="s">
        <v>1577</v>
      </c>
      <c r="C837" s="235" t="s">
        <v>1413</v>
      </c>
      <c r="D837" s="235" t="s">
        <v>31</v>
      </c>
      <c r="E837" s="235" t="s">
        <v>1268</v>
      </c>
      <c r="F837" s="235" t="s">
        <v>1578</v>
      </c>
      <c r="G837" s="260">
        <v>1700</v>
      </c>
      <c r="H837" s="264"/>
      <c r="I837" s="264"/>
      <c r="J837" s="264"/>
      <c r="K837" s="261">
        <f t="shared" si="194"/>
        <v>1700</v>
      </c>
      <c r="L837" s="246"/>
      <c r="M837" s="512">
        <f t="shared" si="196"/>
        <v>1200</v>
      </c>
      <c r="N837" s="239"/>
      <c r="O837" s="239"/>
      <c r="P837" s="239"/>
      <c r="Q837" s="239"/>
      <c r="R837" s="239"/>
      <c r="S837" s="240">
        <v>1200</v>
      </c>
      <c r="T837" s="23"/>
      <c r="V837" s="6">
        <f t="shared" si="195"/>
        <v>0</v>
      </c>
    </row>
    <row r="838" spans="1:22" s="26" customFormat="1" ht="30">
      <c r="A838" s="15">
        <v>54</v>
      </c>
      <c r="B838" s="16" t="s">
        <v>1579</v>
      </c>
      <c r="C838" s="235" t="s">
        <v>1409</v>
      </c>
      <c r="D838" s="235" t="s">
        <v>31</v>
      </c>
      <c r="E838" s="235" t="s">
        <v>1268</v>
      </c>
      <c r="F838" s="235" t="s">
        <v>1580</v>
      </c>
      <c r="G838" s="260">
        <v>1500</v>
      </c>
      <c r="H838" s="264"/>
      <c r="I838" s="264"/>
      <c r="J838" s="264"/>
      <c r="K838" s="261">
        <f t="shared" si="194"/>
        <v>1500</v>
      </c>
      <c r="L838" s="246"/>
      <c r="M838" s="512">
        <f t="shared" si="196"/>
        <v>1277</v>
      </c>
      <c r="N838" s="239"/>
      <c r="O838" s="239"/>
      <c r="P838" s="239"/>
      <c r="Q838" s="239"/>
      <c r="R838" s="239"/>
      <c r="S838" s="240">
        <v>1277</v>
      </c>
      <c r="T838" s="23"/>
      <c r="V838" s="6">
        <f t="shared" si="195"/>
        <v>0</v>
      </c>
    </row>
    <row r="839" spans="1:22" s="26" customFormat="1" ht="30">
      <c r="A839" s="15">
        <v>55</v>
      </c>
      <c r="B839" s="16" t="s">
        <v>1581</v>
      </c>
      <c r="C839" s="235" t="s">
        <v>1436</v>
      </c>
      <c r="D839" s="235" t="s">
        <v>31</v>
      </c>
      <c r="E839" s="235" t="s">
        <v>1268</v>
      </c>
      <c r="F839" s="235" t="s">
        <v>1582</v>
      </c>
      <c r="G839" s="260">
        <v>2667</v>
      </c>
      <c r="H839" s="264"/>
      <c r="I839" s="264"/>
      <c r="J839" s="264"/>
      <c r="K839" s="261">
        <f t="shared" si="194"/>
        <v>2667</v>
      </c>
      <c r="L839" s="246"/>
      <c r="M839" s="512">
        <f t="shared" si="196"/>
        <v>1567</v>
      </c>
      <c r="N839" s="239"/>
      <c r="O839" s="239"/>
      <c r="P839" s="239"/>
      <c r="Q839" s="239"/>
      <c r="R839" s="239"/>
      <c r="S839" s="240">
        <v>1567</v>
      </c>
      <c r="T839" s="23"/>
      <c r="V839" s="6">
        <f t="shared" si="195"/>
        <v>0</v>
      </c>
    </row>
    <row r="840" spans="1:22" s="26" customFormat="1" ht="30">
      <c r="A840" s="15">
        <v>56</v>
      </c>
      <c r="B840" s="16" t="s">
        <v>1583</v>
      </c>
      <c r="C840" s="235" t="s">
        <v>1436</v>
      </c>
      <c r="D840" s="235" t="s">
        <v>31</v>
      </c>
      <c r="E840" s="235" t="s">
        <v>112</v>
      </c>
      <c r="F840" s="235" t="s">
        <v>1584</v>
      </c>
      <c r="G840" s="260">
        <v>5386</v>
      </c>
      <c r="H840" s="270"/>
      <c r="I840" s="270"/>
      <c r="J840" s="270"/>
      <c r="K840" s="261">
        <f t="shared" si="194"/>
        <v>5386</v>
      </c>
      <c r="L840" s="246"/>
      <c r="M840" s="512">
        <f t="shared" si="196"/>
        <v>5386</v>
      </c>
      <c r="N840" s="239"/>
      <c r="O840" s="239"/>
      <c r="P840" s="239"/>
      <c r="Q840" s="239"/>
      <c r="R840" s="239"/>
      <c r="S840" s="240">
        <v>5386</v>
      </c>
      <c r="T840" s="23"/>
      <c r="V840" s="6">
        <f t="shared" si="195"/>
        <v>0</v>
      </c>
    </row>
    <row r="841" spans="1:22" s="26" customFormat="1" ht="30">
      <c r="A841" s="15">
        <v>57</v>
      </c>
      <c r="B841" s="16" t="s">
        <v>1585</v>
      </c>
      <c r="C841" s="235" t="s">
        <v>1586</v>
      </c>
      <c r="D841" s="235" t="s">
        <v>31</v>
      </c>
      <c r="E841" s="235" t="s">
        <v>1268</v>
      </c>
      <c r="F841" s="235" t="s">
        <v>1587</v>
      </c>
      <c r="G841" s="260">
        <v>3700</v>
      </c>
      <c r="H841" s="264"/>
      <c r="I841" s="264"/>
      <c r="J841" s="264"/>
      <c r="K841" s="261">
        <f t="shared" si="194"/>
        <v>3700</v>
      </c>
      <c r="L841" s="246"/>
      <c r="M841" s="512">
        <f t="shared" si="196"/>
        <v>3605</v>
      </c>
      <c r="N841" s="239"/>
      <c r="O841" s="239"/>
      <c r="P841" s="239"/>
      <c r="Q841" s="239"/>
      <c r="R841" s="239"/>
      <c r="S841" s="240">
        <v>3605</v>
      </c>
      <c r="T841" s="23"/>
      <c r="V841" s="6">
        <f t="shared" si="195"/>
        <v>0</v>
      </c>
    </row>
    <row r="842" spans="1:22" s="26" customFormat="1" ht="45">
      <c r="A842" s="15">
        <v>58</v>
      </c>
      <c r="B842" s="16" t="s">
        <v>1588</v>
      </c>
      <c r="C842" s="235" t="s">
        <v>1569</v>
      </c>
      <c r="D842" s="235" t="s">
        <v>31</v>
      </c>
      <c r="E842" s="235" t="s">
        <v>1314</v>
      </c>
      <c r="F842" s="235" t="s">
        <v>1589</v>
      </c>
      <c r="G842" s="260">
        <v>14990</v>
      </c>
      <c r="H842" s="264"/>
      <c r="I842" s="264"/>
      <c r="J842" s="264"/>
      <c r="K842" s="261">
        <f t="shared" si="194"/>
        <v>14990</v>
      </c>
      <c r="L842" s="246"/>
      <c r="M842" s="512">
        <f t="shared" si="196"/>
        <v>6050</v>
      </c>
      <c r="N842" s="239"/>
      <c r="O842" s="239"/>
      <c r="P842" s="239"/>
      <c r="Q842" s="239"/>
      <c r="R842" s="239"/>
      <c r="S842" s="240">
        <v>6050</v>
      </c>
      <c r="T842" s="23"/>
      <c r="V842" s="6">
        <f t="shared" si="195"/>
        <v>0</v>
      </c>
    </row>
    <row r="843" spans="1:22" s="26" customFormat="1" ht="30">
      <c r="A843" s="15">
        <v>59</v>
      </c>
      <c r="B843" s="16" t="s">
        <v>1592</v>
      </c>
      <c r="C843" s="235" t="s">
        <v>1429</v>
      </c>
      <c r="D843" s="235"/>
      <c r="E843" s="235" t="s">
        <v>1314</v>
      </c>
      <c r="F843" s="274" t="s">
        <v>1593</v>
      </c>
      <c r="G843" s="260">
        <v>884.08399999999995</v>
      </c>
      <c r="H843" s="275"/>
      <c r="I843" s="275"/>
      <c r="J843" s="275"/>
      <c r="K843" s="261">
        <f t="shared" si="194"/>
        <v>884.08399999999995</v>
      </c>
      <c r="L843" s="246"/>
      <c r="M843" s="512">
        <f t="shared" si="196"/>
        <v>884</v>
      </c>
      <c r="N843" s="239"/>
      <c r="O843" s="239"/>
      <c r="P843" s="239"/>
      <c r="Q843" s="239"/>
      <c r="R843" s="239"/>
      <c r="S843" s="240">
        <v>884</v>
      </c>
      <c r="T843" s="23"/>
      <c r="V843" s="6">
        <f t="shared" si="195"/>
        <v>0</v>
      </c>
    </row>
    <row r="844" spans="1:22" s="26" customFormat="1" ht="75">
      <c r="A844" s="15">
        <v>60</v>
      </c>
      <c r="B844" s="16" t="s">
        <v>1594</v>
      </c>
      <c r="C844" s="274" t="s">
        <v>1595</v>
      </c>
      <c r="D844" s="274"/>
      <c r="E844" s="235" t="s">
        <v>1314</v>
      </c>
      <c r="F844" s="274" t="s">
        <v>1596</v>
      </c>
      <c r="G844" s="260">
        <v>4155.3220000000001</v>
      </c>
      <c r="H844" s="275"/>
      <c r="I844" s="275"/>
      <c r="J844" s="275"/>
      <c r="K844" s="261">
        <f t="shared" si="194"/>
        <v>4155.3220000000001</v>
      </c>
      <c r="L844" s="246"/>
      <c r="M844" s="512">
        <f t="shared" si="196"/>
        <v>4155</v>
      </c>
      <c r="N844" s="239"/>
      <c r="O844" s="239"/>
      <c r="P844" s="239"/>
      <c r="Q844" s="239"/>
      <c r="R844" s="239"/>
      <c r="S844" s="240">
        <v>4155</v>
      </c>
      <c r="T844" s="23"/>
      <c r="V844" s="6">
        <f t="shared" si="195"/>
        <v>0</v>
      </c>
    </row>
    <row r="845" spans="1:22" s="26" customFormat="1" ht="30">
      <c r="A845" s="15">
        <v>61</v>
      </c>
      <c r="B845" s="16" t="s">
        <v>1597</v>
      </c>
      <c r="C845" s="235" t="s">
        <v>1429</v>
      </c>
      <c r="D845" s="235"/>
      <c r="E845" s="235" t="s">
        <v>1314</v>
      </c>
      <c r="F845" s="274" t="s">
        <v>1598</v>
      </c>
      <c r="G845" s="260">
        <v>556.05200000000002</v>
      </c>
      <c r="H845" s="275"/>
      <c r="I845" s="275"/>
      <c r="J845" s="275"/>
      <c r="K845" s="261">
        <f t="shared" si="194"/>
        <v>556.05200000000002</v>
      </c>
      <c r="L845" s="246"/>
      <c r="M845" s="512">
        <f t="shared" si="196"/>
        <v>556</v>
      </c>
      <c r="N845" s="239"/>
      <c r="O845" s="239"/>
      <c r="P845" s="239"/>
      <c r="Q845" s="239"/>
      <c r="R845" s="239"/>
      <c r="S845" s="240">
        <v>556</v>
      </c>
      <c r="T845" s="23"/>
      <c r="V845" s="6">
        <f t="shared" si="195"/>
        <v>0</v>
      </c>
    </row>
    <row r="846" spans="1:22" s="26" customFormat="1" ht="45">
      <c r="A846" s="15">
        <v>62</v>
      </c>
      <c r="B846" s="16" t="s">
        <v>1599</v>
      </c>
      <c r="C846" s="15" t="s">
        <v>1600</v>
      </c>
      <c r="D846" s="244" t="s">
        <v>31</v>
      </c>
      <c r="E846" s="276" t="s">
        <v>1314</v>
      </c>
      <c r="F846" s="235" t="s">
        <v>1601</v>
      </c>
      <c r="G846" s="236">
        <v>999</v>
      </c>
      <c r="H846" s="264"/>
      <c r="I846" s="264"/>
      <c r="J846" s="264"/>
      <c r="K846" s="246">
        <v>999</v>
      </c>
      <c r="L846" s="246"/>
      <c r="M846" s="512">
        <f t="shared" si="196"/>
        <v>999</v>
      </c>
      <c r="N846" s="239"/>
      <c r="O846" s="239"/>
      <c r="P846" s="239"/>
      <c r="Q846" s="239"/>
      <c r="R846" s="239"/>
      <c r="S846" s="240">
        <v>999</v>
      </c>
      <c r="T846" s="23"/>
      <c r="V846" s="6">
        <f t="shared" si="195"/>
        <v>0</v>
      </c>
    </row>
    <row r="847" spans="1:22" s="26" customFormat="1" ht="30">
      <c r="A847" s="15">
        <v>63</v>
      </c>
      <c r="B847" s="16" t="s">
        <v>1602</v>
      </c>
      <c r="C847" s="15" t="s">
        <v>1600</v>
      </c>
      <c r="D847" s="244" t="s">
        <v>31</v>
      </c>
      <c r="E847" s="276" t="s">
        <v>1314</v>
      </c>
      <c r="F847" s="235" t="s">
        <v>1603</v>
      </c>
      <c r="G847" s="236">
        <v>999</v>
      </c>
      <c r="H847" s="264"/>
      <c r="I847" s="264"/>
      <c r="J847" s="264"/>
      <c r="K847" s="246">
        <v>999</v>
      </c>
      <c r="L847" s="246"/>
      <c r="M847" s="512">
        <f t="shared" si="196"/>
        <v>999</v>
      </c>
      <c r="N847" s="239"/>
      <c r="O847" s="239"/>
      <c r="P847" s="239"/>
      <c r="Q847" s="239"/>
      <c r="R847" s="239"/>
      <c r="S847" s="240">
        <v>999</v>
      </c>
      <c r="T847" s="23"/>
      <c r="V847" s="6">
        <f t="shared" si="195"/>
        <v>0</v>
      </c>
    </row>
    <row r="848" spans="1:22" s="26" customFormat="1" ht="30">
      <c r="A848" s="15">
        <v>64</v>
      </c>
      <c r="B848" s="16" t="s">
        <v>1604</v>
      </c>
      <c r="C848" s="15" t="s">
        <v>1586</v>
      </c>
      <c r="D848" s="244" t="s">
        <v>31</v>
      </c>
      <c r="E848" s="276" t="s">
        <v>1314</v>
      </c>
      <c r="F848" s="235" t="s">
        <v>1605</v>
      </c>
      <c r="G848" s="236">
        <v>1086</v>
      </c>
      <c r="H848" s="264"/>
      <c r="I848" s="264"/>
      <c r="J848" s="264"/>
      <c r="K848" s="246">
        <v>1086</v>
      </c>
      <c r="L848" s="246"/>
      <c r="M848" s="512">
        <f t="shared" si="196"/>
        <v>1086</v>
      </c>
      <c r="N848" s="239"/>
      <c r="O848" s="239"/>
      <c r="P848" s="239"/>
      <c r="Q848" s="239"/>
      <c r="R848" s="239"/>
      <c r="S848" s="240">
        <v>1086</v>
      </c>
      <c r="T848" s="23"/>
      <c r="V848" s="6">
        <f t="shared" si="195"/>
        <v>0</v>
      </c>
    </row>
    <row r="849" spans="1:22" s="26" customFormat="1" ht="45">
      <c r="A849" s="15">
        <v>65</v>
      </c>
      <c r="B849" s="16" t="s">
        <v>1606</v>
      </c>
      <c r="C849" s="15" t="s">
        <v>1586</v>
      </c>
      <c r="D849" s="244" t="s">
        <v>31</v>
      </c>
      <c r="E849" s="276" t="s">
        <v>1314</v>
      </c>
      <c r="F849" s="235" t="s">
        <v>1607</v>
      </c>
      <c r="G849" s="236">
        <v>1176</v>
      </c>
      <c r="H849" s="264"/>
      <c r="I849" s="264"/>
      <c r="J849" s="264"/>
      <c r="K849" s="246">
        <v>1176</v>
      </c>
      <c r="L849" s="246"/>
      <c r="M849" s="512">
        <f t="shared" si="196"/>
        <v>1176</v>
      </c>
      <c r="N849" s="239"/>
      <c r="O849" s="239"/>
      <c r="P849" s="239"/>
      <c r="Q849" s="239"/>
      <c r="R849" s="239"/>
      <c r="S849" s="240">
        <v>1176</v>
      </c>
      <c r="T849" s="23"/>
      <c r="V849" s="6">
        <f t="shared" si="195"/>
        <v>0</v>
      </c>
    </row>
    <row r="850" spans="1:22" s="26" customFormat="1" ht="30">
      <c r="A850" s="15">
        <v>66</v>
      </c>
      <c r="B850" s="16" t="s">
        <v>1608</v>
      </c>
      <c r="C850" s="15" t="s">
        <v>1586</v>
      </c>
      <c r="D850" s="244" t="s">
        <v>31</v>
      </c>
      <c r="E850" s="276" t="s">
        <v>1314</v>
      </c>
      <c r="F850" s="235" t="s">
        <v>1609</v>
      </c>
      <c r="G850" s="236">
        <v>586</v>
      </c>
      <c r="H850" s="264"/>
      <c r="I850" s="264"/>
      <c r="J850" s="264"/>
      <c r="K850" s="246">
        <v>586</v>
      </c>
      <c r="L850" s="246"/>
      <c r="M850" s="512">
        <f t="shared" si="196"/>
        <v>586</v>
      </c>
      <c r="N850" s="239"/>
      <c r="O850" s="239"/>
      <c r="P850" s="239"/>
      <c r="Q850" s="239"/>
      <c r="R850" s="239"/>
      <c r="S850" s="240">
        <v>586</v>
      </c>
      <c r="T850" s="23"/>
      <c r="V850" s="6">
        <f t="shared" si="195"/>
        <v>0</v>
      </c>
    </row>
    <row r="851" spans="1:22" s="26" customFormat="1" ht="30">
      <c r="A851" s="15">
        <v>67</v>
      </c>
      <c r="B851" s="277" t="s">
        <v>1610</v>
      </c>
      <c r="C851" s="15" t="s">
        <v>1586</v>
      </c>
      <c r="D851" s="244" t="s">
        <v>31</v>
      </c>
      <c r="E851" s="276" t="s">
        <v>1314</v>
      </c>
      <c r="F851" s="235" t="s">
        <v>1611</v>
      </c>
      <c r="G851" s="236">
        <v>725</v>
      </c>
      <c r="H851" s="264"/>
      <c r="I851" s="264"/>
      <c r="J851" s="264"/>
      <c r="K851" s="246">
        <v>725</v>
      </c>
      <c r="L851" s="246"/>
      <c r="M851" s="512">
        <f t="shared" si="196"/>
        <v>725</v>
      </c>
      <c r="N851" s="239"/>
      <c r="O851" s="239"/>
      <c r="P851" s="239"/>
      <c r="Q851" s="239"/>
      <c r="R851" s="239"/>
      <c r="S851" s="240">
        <v>725</v>
      </c>
      <c r="T851" s="23"/>
      <c r="V851" s="6">
        <f t="shared" si="195"/>
        <v>0</v>
      </c>
    </row>
    <row r="852" spans="1:22" s="26" customFormat="1" ht="30">
      <c r="A852" s="15">
        <v>68</v>
      </c>
      <c r="B852" s="177" t="s">
        <v>1612</v>
      </c>
      <c r="C852" s="15" t="s">
        <v>1600</v>
      </c>
      <c r="D852" s="244" t="s">
        <v>31</v>
      </c>
      <c r="E852" s="276" t="s">
        <v>1314</v>
      </c>
      <c r="F852" s="235" t="s">
        <v>1613</v>
      </c>
      <c r="G852" s="236">
        <v>1145</v>
      </c>
      <c r="H852" s="264"/>
      <c r="I852" s="264"/>
      <c r="J852" s="264"/>
      <c r="K852" s="246">
        <v>1145</v>
      </c>
      <c r="L852" s="246"/>
      <c r="M852" s="512">
        <f t="shared" si="196"/>
        <v>1145</v>
      </c>
      <c r="N852" s="239"/>
      <c r="O852" s="239"/>
      <c r="P852" s="239"/>
      <c r="Q852" s="239"/>
      <c r="R852" s="239"/>
      <c r="S852" s="240">
        <v>1145</v>
      </c>
      <c r="T852" s="23"/>
      <c r="V852" s="6">
        <f t="shared" ref="V852:V915" si="197">G852-H852-I852-J852-K852</f>
        <v>0</v>
      </c>
    </row>
    <row r="853" spans="1:22" s="26" customFormat="1" ht="30">
      <c r="A853" s="15">
        <v>69</v>
      </c>
      <c r="B853" s="177" t="s">
        <v>1614</v>
      </c>
      <c r="C853" s="15" t="s">
        <v>1419</v>
      </c>
      <c r="D853" s="244" t="s">
        <v>31</v>
      </c>
      <c r="E853" s="276" t="s">
        <v>1314</v>
      </c>
      <c r="F853" s="235" t="s">
        <v>1615</v>
      </c>
      <c r="G853" s="236">
        <v>1203</v>
      </c>
      <c r="H853" s="264"/>
      <c r="I853" s="264"/>
      <c r="J853" s="264"/>
      <c r="K853" s="246">
        <v>1203</v>
      </c>
      <c r="L853" s="246"/>
      <c r="M853" s="512">
        <f t="shared" si="196"/>
        <v>1203</v>
      </c>
      <c r="N853" s="239"/>
      <c r="O853" s="239"/>
      <c r="P853" s="239"/>
      <c r="Q853" s="239"/>
      <c r="R853" s="239"/>
      <c r="S853" s="240">
        <v>1203</v>
      </c>
      <c r="T853" s="23"/>
      <c r="V853" s="6">
        <f t="shared" si="197"/>
        <v>0</v>
      </c>
    </row>
    <row r="854" spans="1:22" s="26" customFormat="1" ht="30">
      <c r="A854" s="15">
        <v>70</v>
      </c>
      <c r="B854" s="177" t="s">
        <v>1616</v>
      </c>
      <c r="C854" s="15" t="s">
        <v>1416</v>
      </c>
      <c r="D854" s="244" t="s">
        <v>31</v>
      </c>
      <c r="E854" s="276" t="s">
        <v>1314</v>
      </c>
      <c r="F854" s="235" t="s">
        <v>1617</v>
      </c>
      <c r="G854" s="236">
        <v>1131</v>
      </c>
      <c r="H854" s="264"/>
      <c r="I854" s="264"/>
      <c r="J854" s="264"/>
      <c r="K854" s="246">
        <v>1131</v>
      </c>
      <c r="L854" s="246"/>
      <c r="M854" s="512">
        <f t="shared" si="196"/>
        <v>1131</v>
      </c>
      <c r="N854" s="239"/>
      <c r="O854" s="239"/>
      <c r="P854" s="239"/>
      <c r="Q854" s="239"/>
      <c r="R854" s="239"/>
      <c r="S854" s="240">
        <v>1131</v>
      </c>
      <c r="T854" s="23"/>
      <c r="V854" s="6">
        <f t="shared" si="197"/>
        <v>0</v>
      </c>
    </row>
    <row r="855" spans="1:22" s="26" customFormat="1" ht="30">
      <c r="A855" s="15">
        <v>71</v>
      </c>
      <c r="B855" s="177" t="s">
        <v>1618</v>
      </c>
      <c r="C855" s="15" t="s">
        <v>1409</v>
      </c>
      <c r="D855" s="244" t="s">
        <v>31</v>
      </c>
      <c r="E855" s="276" t="s">
        <v>1314</v>
      </c>
      <c r="F855" s="235" t="s">
        <v>1619</v>
      </c>
      <c r="G855" s="236">
        <v>1214</v>
      </c>
      <c r="H855" s="264"/>
      <c r="I855" s="264"/>
      <c r="J855" s="264"/>
      <c r="K855" s="246">
        <v>1214</v>
      </c>
      <c r="L855" s="246"/>
      <c r="M855" s="512">
        <f t="shared" si="196"/>
        <v>1214</v>
      </c>
      <c r="N855" s="239"/>
      <c r="O855" s="239"/>
      <c r="P855" s="239"/>
      <c r="Q855" s="239"/>
      <c r="R855" s="239"/>
      <c r="S855" s="240">
        <v>1214</v>
      </c>
      <c r="T855" s="23"/>
      <c r="V855" s="6">
        <f t="shared" si="197"/>
        <v>0</v>
      </c>
    </row>
    <row r="856" spans="1:22" s="26" customFormat="1" ht="45">
      <c r="A856" s="15">
        <v>72</v>
      </c>
      <c r="B856" s="177" t="s">
        <v>1620</v>
      </c>
      <c r="C856" s="15" t="s">
        <v>1429</v>
      </c>
      <c r="D856" s="244" t="s">
        <v>31</v>
      </c>
      <c r="E856" s="276" t="s">
        <v>1314</v>
      </c>
      <c r="F856" s="235" t="s">
        <v>1621</v>
      </c>
      <c r="G856" s="236">
        <v>1077</v>
      </c>
      <c r="H856" s="264"/>
      <c r="I856" s="264"/>
      <c r="J856" s="264"/>
      <c r="K856" s="246">
        <v>1077</v>
      </c>
      <c r="L856" s="246"/>
      <c r="M856" s="512">
        <f t="shared" si="196"/>
        <v>1077</v>
      </c>
      <c r="N856" s="239"/>
      <c r="O856" s="239"/>
      <c r="P856" s="239"/>
      <c r="Q856" s="239"/>
      <c r="R856" s="239"/>
      <c r="S856" s="240">
        <v>1077</v>
      </c>
      <c r="T856" s="23"/>
      <c r="V856" s="6">
        <f t="shared" si="197"/>
        <v>0</v>
      </c>
    </row>
    <row r="857" spans="1:22" s="26" customFormat="1" ht="30">
      <c r="A857" s="15">
        <v>73</v>
      </c>
      <c r="B857" s="177" t="s">
        <v>1622</v>
      </c>
      <c r="C857" s="15" t="s">
        <v>1419</v>
      </c>
      <c r="D857" s="244" t="s">
        <v>31</v>
      </c>
      <c r="E857" s="276" t="s">
        <v>1314</v>
      </c>
      <c r="F857" s="235" t="s">
        <v>1623</v>
      </c>
      <c r="G857" s="236">
        <v>708</v>
      </c>
      <c r="H857" s="264"/>
      <c r="I857" s="264"/>
      <c r="J857" s="264"/>
      <c r="K857" s="246">
        <v>708</v>
      </c>
      <c r="L857" s="246"/>
      <c r="M857" s="512">
        <f t="shared" si="196"/>
        <v>708</v>
      </c>
      <c r="N857" s="239"/>
      <c r="O857" s="239"/>
      <c r="P857" s="239"/>
      <c r="Q857" s="239"/>
      <c r="R857" s="239"/>
      <c r="S857" s="240">
        <v>708</v>
      </c>
      <c r="T857" s="23"/>
      <c r="V857" s="6">
        <f t="shared" si="197"/>
        <v>0</v>
      </c>
    </row>
    <row r="858" spans="1:22" s="26" customFormat="1" ht="30">
      <c r="A858" s="15">
        <v>74</v>
      </c>
      <c r="B858" s="177" t="s">
        <v>1624</v>
      </c>
      <c r="C858" s="15" t="s">
        <v>1416</v>
      </c>
      <c r="D858" s="244" t="s">
        <v>31</v>
      </c>
      <c r="E858" s="276" t="s">
        <v>1314</v>
      </c>
      <c r="F858" s="235" t="s">
        <v>1625</v>
      </c>
      <c r="G858" s="236">
        <v>796</v>
      </c>
      <c r="H858" s="264"/>
      <c r="I858" s="264"/>
      <c r="J858" s="264"/>
      <c r="K858" s="246">
        <v>796</v>
      </c>
      <c r="L858" s="246"/>
      <c r="M858" s="512">
        <f t="shared" si="196"/>
        <v>796</v>
      </c>
      <c r="N858" s="239"/>
      <c r="O858" s="239"/>
      <c r="P858" s="239"/>
      <c r="Q858" s="239"/>
      <c r="R858" s="239"/>
      <c r="S858" s="240">
        <v>796</v>
      </c>
      <c r="T858" s="23"/>
      <c r="V858" s="6">
        <f t="shared" si="197"/>
        <v>0</v>
      </c>
    </row>
    <row r="859" spans="1:22" s="26" customFormat="1" ht="30">
      <c r="A859" s="15">
        <v>75</v>
      </c>
      <c r="B859" s="16" t="s">
        <v>1626</v>
      </c>
      <c r="C859" s="15" t="s">
        <v>1586</v>
      </c>
      <c r="D859" s="235" t="s">
        <v>31</v>
      </c>
      <c r="E859" s="276" t="s">
        <v>1314</v>
      </c>
      <c r="F859" s="235" t="s">
        <v>1627</v>
      </c>
      <c r="G859" s="236">
        <v>2309</v>
      </c>
      <c r="H859" s="264"/>
      <c r="I859" s="264"/>
      <c r="J859" s="264"/>
      <c r="K859" s="246">
        <v>2309</v>
      </c>
      <c r="L859" s="246"/>
      <c r="M859" s="512">
        <f t="shared" si="196"/>
        <v>2309</v>
      </c>
      <c r="N859" s="239"/>
      <c r="O859" s="239"/>
      <c r="P859" s="239"/>
      <c r="Q859" s="239"/>
      <c r="R859" s="239"/>
      <c r="S859" s="240">
        <v>2309</v>
      </c>
      <c r="T859" s="23"/>
      <c r="V859" s="6">
        <f t="shared" si="197"/>
        <v>0</v>
      </c>
    </row>
    <row r="860" spans="1:22" s="26" customFormat="1" ht="30">
      <c r="A860" s="15">
        <v>76</v>
      </c>
      <c r="B860" s="16" t="s">
        <v>1628</v>
      </c>
      <c r="C860" s="15" t="s">
        <v>1586</v>
      </c>
      <c r="D860" s="235" t="s">
        <v>31</v>
      </c>
      <c r="E860" s="276" t="s">
        <v>1314</v>
      </c>
      <c r="F860" s="235" t="s">
        <v>1629</v>
      </c>
      <c r="G860" s="236">
        <v>3666</v>
      </c>
      <c r="H860" s="264"/>
      <c r="I860" s="264"/>
      <c r="J860" s="264"/>
      <c r="K860" s="246">
        <v>3666</v>
      </c>
      <c r="L860" s="246"/>
      <c r="M860" s="512">
        <f t="shared" si="196"/>
        <v>3666</v>
      </c>
      <c r="N860" s="239"/>
      <c r="O860" s="239"/>
      <c r="P860" s="239"/>
      <c r="Q860" s="239"/>
      <c r="R860" s="239"/>
      <c r="S860" s="240">
        <v>3666</v>
      </c>
      <c r="T860" s="23"/>
      <c r="V860" s="6">
        <f t="shared" si="197"/>
        <v>0</v>
      </c>
    </row>
    <row r="861" spans="1:22" s="26" customFormat="1" ht="30">
      <c r="A861" s="15">
        <v>77</v>
      </c>
      <c r="B861" s="16" t="s">
        <v>1630</v>
      </c>
      <c r="C861" s="15" t="s">
        <v>1586</v>
      </c>
      <c r="D861" s="235" t="s">
        <v>31</v>
      </c>
      <c r="E861" s="276" t="s">
        <v>1314</v>
      </c>
      <c r="F861" s="235" t="s">
        <v>1631</v>
      </c>
      <c r="G861" s="236">
        <v>1119</v>
      </c>
      <c r="H861" s="264"/>
      <c r="I861" s="264"/>
      <c r="J861" s="264"/>
      <c r="K861" s="246">
        <v>1119</v>
      </c>
      <c r="L861" s="246"/>
      <c r="M861" s="512">
        <f t="shared" si="196"/>
        <v>1119</v>
      </c>
      <c r="N861" s="239"/>
      <c r="O861" s="239"/>
      <c r="P861" s="239"/>
      <c r="Q861" s="239"/>
      <c r="R861" s="239"/>
      <c r="S861" s="240">
        <v>1119</v>
      </c>
      <c r="T861" s="23"/>
      <c r="V861" s="6">
        <f t="shared" si="197"/>
        <v>0</v>
      </c>
    </row>
    <row r="862" spans="1:22" s="26" customFormat="1" ht="30">
      <c r="A862" s="15">
        <v>78</v>
      </c>
      <c r="B862" s="16" t="s">
        <v>1632</v>
      </c>
      <c r="C862" s="15" t="s">
        <v>1586</v>
      </c>
      <c r="D862" s="235" t="s">
        <v>31</v>
      </c>
      <c r="E862" s="276" t="s">
        <v>1314</v>
      </c>
      <c r="F862" s="235" t="s">
        <v>1633</v>
      </c>
      <c r="G862" s="236">
        <v>583</v>
      </c>
      <c r="H862" s="264"/>
      <c r="I862" s="264"/>
      <c r="J862" s="264"/>
      <c r="K862" s="246">
        <v>583</v>
      </c>
      <c r="L862" s="246"/>
      <c r="M862" s="512">
        <f t="shared" si="196"/>
        <v>583</v>
      </c>
      <c r="N862" s="239"/>
      <c r="O862" s="239"/>
      <c r="P862" s="239"/>
      <c r="Q862" s="239"/>
      <c r="R862" s="239"/>
      <c r="S862" s="240">
        <v>583</v>
      </c>
      <c r="T862" s="23"/>
      <c r="V862" s="6">
        <f t="shared" si="197"/>
        <v>0</v>
      </c>
    </row>
    <row r="863" spans="1:22" ht="29.25">
      <c r="A863" s="468" t="s">
        <v>516</v>
      </c>
      <c r="B863" s="547" t="s">
        <v>1634</v>
      </c>
      <c r="C863" s="548"/>
      <c r="D863" s="549"/>
      <c r="E863" s="550"/>
      <c r="F863" s="551"/>
      <c r="G863" s="361">
        <f>G864+G888</f>
        <v>1156616.0180419998</v>
      </c>
      <c r="H863" s="361"/>
      <c r="I863" s="361"/>
      <c r="J863" s="361"/>
      <c r="K863" s="361">
        <f>K864+K888</f>
        <v>1156616.0180419998</v>
      </c>
      <c r="L863" s="361">
        <f>L864+L888</f>
        <v>139286.91818099999</v>
      </c>
      <c r="M863" s="540">
        <f t="shared" si="196"/>
        <v>758830</v>
      </c>
      <c r="N863" s="211"/>
      <c r="O863" s="211"/>
      <c r="P863" s="211"/>
      <c r="Q863" s="211"/>
      <c r="R863" s="211"/>
      <c r="S863" s="362">
        <f>S864+S888</f>
        <v>758830</v>
      </c>
      <c r="T863" s="23"/>
      <c r="V863" s="6">
        <f t="shared" si="197"/>
        <v>0</v>
      </c>
    </row>
    <row r="864" spans="1:22" ht="15.75">
      <c r="A864" s="549" t="s">
        <v>69</v>
      </c>
      <c r="B864" s="552" t="s">
        <v>1636</v>
      </c>
      <c r="C864" s="548"/>
      <c r="D864" s="549"/>
      <c r="E864" s="550"/>
      <c r="F864" s="551">
        <f t="shared" ref="F864:L864" si="198">F865+F870</f>
        <v>0</v>
      </c>
      <c r="G864" s="361">
        <f t="shared" si="198"/>
        <v>3978.7799999999997</v>
      </c>
      <c r="H864" s="361"/>
      <c r="I864" s="361"/>
      <c r="J864" s="361"/>
      <c r="K864" s="361">
        <f t="shared" si="198"/>
        <v>3978.7799999999997</v>
      </c>
      <c r="L864" s="361">
        <f t="shared" si="198"/>
        <v>0</v>
      </c>
      <c r="M864" s="540">
        <f t="shared" si="196"/>
        <v>7920</v>
      </c>
      <c r="N864" s="211"/>
      <c r="O864" s="211"/>
      <c r="P864" s="211"/>
      <c r="Q864" s="211"/>
      <c r="R864" s="211"/>
      <c r="S864" s="362">
        <f t="shared" ref="S864" si="199">S865+S870</f>
        <v>7920</v>
      </c>
      <c r="T864" s="23"/>
      <c r="V864" s="6">
        <f t="shared" si="197"/>
        <v>0</v>
      </c>
    </row>
    <row r="865" spans="1:22" s="26" customFormat="1">
      <c r="A865" s="356" t="s">
        <v>71</v>
      </c>
      <c r="B865" s="357" t="s">
        <v>1637</v>
      </c>
      <c r="C865" s="358"/>
      <c r="D865" s="356"/>
      <c r="E865" s="359"/>
      <c r="F865" s="360"/>
      <c r="G865" s="361">
        <f>SUM(G866:G869)</f>
        <v>0</v>
      </c>
      <c r="H865" s="361"/>
      <c r="I865" s="361"/>
      <c r="J865" s="361"/>
      <c r="K865" s="361">
        <f>SUM(K866:K869)</f>
        <v>0</v>
      </c>
      <c r="L865" s="361">
        <f>SUM(L866:L869)</f>
        <v>0</v>
      </c>
      <c r="M865" s="540">
        <f t="shared" si="196"/>
        <v>5170</v>
      </c>
      <c r="N865" s="211"/>
      <c r="O865" s="211"/>
      <c r="P865" s="211"/>
      <c r="Q865" s="211"/>
      <c r="R865" s="211"/>
      <c r="S865" s="362">
        <f>SUM(S866:S869)</f>
        <v>5170</v>
      </c>
      <c r="T865" s="23"/>
      <c r="V865" s="6">
        <f t="shared" si="197"/>
        <v>0</v>
      </c>
    </row>
    <row r="866" spans="1:22" s="26" customFormat="1" ht="30">
      <c r="A866" s="363">
        <v>1</v>
      </c>
      <c r="B866" s="177" t="s">
        <v>1638</v>
      </c>
      <c r="C866" s="359" t="s">
        <v>1639</v>
      </c>
      <c r="D866" s="363"/>
      <c r="E866" s="359" t="s">
        <v>55</v>
      </c>
      <c r="F866" s="364"/>
      <c r="G866" s="365"/>
      <c r="H866" s="365"/>
      <c r="I866" s="365"/>
      <c r="J866" s="365"/>
      <c r="K866" s="365"/>
      <c r="L866" s="365"/>
      <c r="M866" s="512">
        <f t="shared" si="196"/>
        <v>1000</v>
      </c>
      <c r="N866" s="211"/>
      <c r="O866" s="211"/>
      <c r="P866" s="211"/>
      <c r="Q866" s="211"/>
      <c r="R866" s="211"/>
      <c r="S866" s="240">
        <v>1000</v>
      </c>
      <c r="T866" s="23"/>
      <c r="V866" s="6">
        <f t="shared" si="197"/>
        <v>0</v>
      </c>
    </row>
    <row r="867" spans="1:22" s="26" customFormat="1" ht="30">
      <c r="A867" s="363">
        <f>A866+1</f>
        <v>2</v>
      </c>
      <c r="B867" s="177" t="s">
        <v>1640</v>
      </c>
      <c r="C867" s="359" t="s">
        <v>1639</v>
      </c>
      <c r="D867" s="363"/>
      <c r="E867" s="359" t="s">
        <v>55</v>
      </c>
      <c r="F867" s="364"/>
      <c r="G867" s="365"/>
      <c r="H867" s="365"/>
      <c r="I867" s="365"/>
      <c r="J867" s="365"/>
      <c r="K867" s="365"/>
      <c r="L867" s="365"/>
      <c r="M867" s="512">
        <f t="shared" si="196"/>
        <v>1200</v>
      </c>
      <c r="N867" s="211"/>
      <c r="O867" s="211"/>
      <c r="P867" s="211"/>
      <c r="Q867" s="211"/>
      <c r="R867" s="211"/>
      <c r="S867" s="240">
        <v>1200</v>
      </c>
      <c r="T867" s="23"/>
      <c r="V867" s="6">
        <f t="shared" si="197"/>
        <v>0</v>
      </c>
    </row>
    <row r="868" spans="1:22" s="26" customFormat="1" ht="30">
      <c r="A868" s="363">
        <f t="shared" ref="A868:A869" si="200">A867+1</f>
        <v>3</v>
      </c>
      <c r="B868" s="177" t="s">
        <v>1641</v>
      </c>
      <c r="C868" s="359" t="s">
        <v>1639</v>
      </c>
      <c r="D868" s="363"/>
      <c r="E868" s="359" t="s">
        <v>55</v>
      </c>
      <c r="F868" s="364"/>
      <c r="G868" s="365"/>
      <c r="H868" s="365"/>
      <c r="I868" s="365"/>
      <c r="J868" s="365"/>
      <c r="K868" s="365"/>
      <c r="L868" s="365"/>
      <c r="M868" s="512">
        <f t="shared" si="196"/>
        <v>1000</v>
      </c>
      <c r="N868" s="211"/>
      <c r="O868" s="211"/>
      <c r="P868" s="211"/>
      <c r="Q868" s="211"/>
      <c r="R868" s="211"/>
      <c r="S868" s="240">
        <v>1000</v>
      </c>
      <c r="T868" s="23"/>
      <c r="V868" s="6">
        <f t="shared" si="197"/>
        <v>0</v>
      </c>
    </row>
    <row r="869" spans="1:22" s="26" customFormat="1" ht="30">
      <c r="A869" s="363">
        <f t="shared" si="200"/>
        <v>4</v>
      </c>
      <c r="B869" s="177" t="s">
        <v>1642</v>
      </c>
      <c r="C869" s="359" t="s">
        <v>1639</v>
      </c>
      <c r="D869" s="363"/>
      <c r="E869" s="359" t="s">
        <v>55</v>
      </c>
      <c r="F869" s="364"/>
      <c r="G869" s="365"/>
      <c r="H869" s="365"/>
      <c r="I869" s="365"/>
      <c r="J869" s="365"/>
      <c r="K869" s="365"/>
      <c r="L869" s="365"/>
      <c r="M869" s="512">
        <f t="shared" si="196"/>
        <v>1970</v>
      </c>
      <c r="N869" s="211"/>
      <c r="O869" s="211"/>
      <c r="P869" s="211"/>
      <c r="Q869" s="211"/>
      <c r="R869" s="211"/>
      <c r="S869" s="240">
        <v>1970</v>
      </c>
      <c r="T869" s="23"/>
      <c r="V869" s="6">
        <f t="shared" si="197"/>
        <v>0</v>
      </c>
    </row>
    <row r="870" spans="1:22">
      <c r="A870" s="366" t="s">
        <v>82</v>
      </c>
      <c r="B870" s="367" t="s">
        <v>38</v>
      </c>
      <c r="C870" s="368"/>
      <c r="D870" s="366"/>
      <c r="E870" s="369"/>
      <c r="F870" s="370"/>
      <c r="G870" s="371">
        <f>SUM(G871:G887)</f>
        <v>3978.7799999999997</v>
      </c>
      <c r="H870" s="371"/>
      <c r="I870" s="371"/>
      <c r="J870" s="371"/>
      <c r="K870" s="371">
        <f>SUM(K871:K887)</f>
        <v>3978.7799999999997</v>
      </c>
      <c r="L870" s="371">
        <f>SUM(L871:L887)</f>
        <v>0</v>
      </c>
      <c r="M870" s="512">
        <f t="shared" si="196"/>
        <v>2750</v>
      </c>
      <c r="N870" s="211"/>
      <c r="O870" s="211"/>
      <c r="P870" s="211"/>
      <c r="Q870" s="211"/>
      <c r="R870" s="211"/>
      <c r="S870" s="372">
        <f>SUM(S871:S887)</f>
        <v>2750</v>
      </c>
      <c r="T870" s="37"/>
      <c r="V870" s="6">
        <f t="shared" si="197"/>
        <v>0</v>
      </c>
    </row>
    <row r="871" spans="1:22" ht="45">
      <c r="A871" s="373">
        <v>1</v>
      </c>
      <c r="B871" s="92" t="s">
        <v>1643</v>
      </c>
      <c r="C871" s="369" t="s">
        <v>1644</v>
      </c>
      <c r="D871" s="369" t="s">
        <v>31</v>
      </c>
      <c r="E871" s="53">
        <v>2025</v>
      </c>
      <c r="F871" s="369" t="s">
        <v>1645</v>
      </c>
      <c r="G871" s="374">
        <v>314.77999999999997</v>
      </c>
      <c r="H871" s="374"/>
      <c r="I871" s="374"/>
      <c r="J871" s="374"/>
      <c r="K871" s="374">
        <v>314.77999999999997</v>
      </c>
      <c r="L871" s="374"/>
      <c r="M871" s="512">
        <f t="shared" si="196"/>
        <v>100</v>
      </c>
      <c r="N871" s="211"/>
      <c r="O871" s="211"/>
      <c r="P871" s="211"/>
      <c r="Q871" s="211"/>
      <c r="R871" s="211"/>
      <c r="S871" s="375">
        <v>100</v>
      </c>
      <c r="T871" s="37"/>
      <c r="V871" s="6">
        <f t="shared" si="197"/>
        <v>0</v>
      </c>
    </row>
    <row r="872" spans="1:22" ht="45">
      <c r="A872" s="373">
        <f t="shared" ref="A872:A887" si="201">A871+1</f>
        <v>2</v>
      </c>
      <c r="B872" s="92" t="s">
        <v>1646</v>
      </c>
      <c r="C872" s="369" t="s">
        <v>1647</v>
      </c>
      <c r="D872" s="369" t="s">
        <v>31</v>
      </c>
      <c r="E872" s="53">
        <v>2025</v>
      </c>
      <c r="F872" s="376" t="s">
        <v>1648</v>
      </c>
      <c r="G872" s="377">
        <v>218</v>
      </c>
      <c r="H872" s="377"/>
      <c r="I872" s="377"/>
      <c r="J872" s="377"/>
      <c r="K872" s="377">
        <f t="shared" ref="K872:K874" si="202">G872</f>
        <v>218</v>
      </c>
      <c r="L872" s="374"/>
      <c r="M872" s="512">
        <f t="shared" si="196"/>
        <v>150</v>
      </c>
      <c r="N872" s="211"/>
      <c r="O872" s="211"/>
      <c r="P872" s="211"/>
      <c r="Q872" s="211"/>
      <c r="R872" s="211"/>
      <c r="S872" s="375">
        <v>150</v>
      </c>
      <c r="T872" s="37"/>
      <c r="V872" s="6">
        <f t="shared" si="197"/>
        <v>0</v>
      </c>
    </row>
    <row r="873" spans="1:22" ht="45">
      <c r="A873" s="373">
        <f t="shared" si="201"/>
        <v>3</v>
      </c>
      <c r="B873" s="92" t="s">
        <v>1649</v>
      </c>
      <c r="C873" s="369" t="s">
        <v>1647</v>
      </c>
      <c r="D873" s="369" t="s">
        <v>31</v>
      </c>
      <c r="E873" s="53">
        <v>2025</v>
      </c>
      <c r="F873" s="376" t="s">
        <v>1650</v>
      </c>
      <c r="G873" s="377">
        <v>93</v>
      </c>
      <c r="H873" s="377"/>
      <c r="I873" s="377"/>
      <c r="J873" s="377"/>
      <c r="K873" s="377">
        <f t="shared" si="202"/>
        <v>93</v>
      </c>
      <c r="L873" s="374"/>
      <c r="M873" s="512">
        <f t="shared" si="196"/>
        <v>150</v>
      </c>
      <c r="N873" s="211"/>
      <c r="O873" s="211"/>
      <c r="P873" s="211"/>
      <c r="Q873" s="211"/>
      <c r="R873" s="211"/>
      <c r="S873" s="375">
        <v>150</v>
      </c>
      <c r="T873" s="37"/>
      <c r="V873" s="6">
        <f t="shared" si="197"/>
        <v>0</v>
      </c>
    </row>
    <row r="874" spans="1:22" ht="60">
      <c r="A874" s="373">
        <f t="shared" si="201"/>
        <v>4</v>
      </c>
      <c r="B874" s="92" t="s">
        <v>1651</v>
      </c>
      <c r="C874" s="369" t="s">
        <v>1647</v>
      </c>
      <c r="D874" s="369" t="s">
        <v>31</v>
      </c>
      <c r="E874" s="53">
        <v>2025</v>
      </c>
      <c r="F874" s="376" t="s">
        <v>1652</v>
      </c>
      <c r="G874" s="377">
        <v>174</v>
      </c>
      <c r="H874" s="377"/>
      <c r="I874" s="377"/>
      <c r="J874" s="377"/>
      <c r="K874" s="377">
        <f t="shared" si="202"/>
        <v>174</v>
      </c>
      <c r="L874" s="374"/>
      <c r="M874" s="512">
        <f t="shared" si="196"/>
        <v>150</v>
      </c>
      <c r="N874" s="211"/>
      <c r="O874" s="211"/>
      <c r="P874" s="211"/>
      <c r="Q874" s="211"/>
      <c r="R874" s="211"/>
      <c r="S874" s="375">
        <v>150</v>
      </c>
      <c r="T874" s="37"/>
      <c r="V874" s="6">
        <f t="shared" si="197"/>
        <v>0</v>
      </c>
    </row>
    <row r="875" spans="1:22" ht="75">
      <c r="A875" s="373">
        <f t="shared" si="201"/>
        <v>5</v>
      </c>
      <c r="B875" s="378" t="s">
        <v>1653</v>
      </c>
      <c r="C875" s="369" t="s">
        <v>1654</v>
      </c>
      <c r="D875" s="369" t="s">
        <v>31</v>
      </c>
      <c r="E875" s="53">
        <v>2025</v>
      </c>
      <c r="F875" s="376" t="s">
        <v>1655</v>
      </c>
      <c r="G875" s="377">
        <v>134</v>
      </c>
      <c r="H875" s="377"/>
      <c r="I875" s="377"/>
      <c r="J875" s="377"/>
      <c r="K875" s="377">
        <v>134</v>
      </c>
      <c r="L875" s="374"/>
      <c r="M875" s="512">
        <f t="shared" si="196"/>
        <v>100</v>
      </c>
      <c r="N875" s="211"/>
      <c r="O875" s="211"/>
      <c r="P875" s="211"/>
      <c r="Q875" s="211"/>
      <c r="R875" s="211"/>
      <c r="S875" s="375">
        <v>100</v>
      </c>
      <c r="T875" s="37"/>
      <c r="V875" s="6">
        <f t="shared" si="197"/>
        <v>0</v>
      </c>
    </row>
    <row r="876" spans="1:22" ht="45">
      <c r="A876" s="373">
        <f t="shared" si="201"/>
        <v>6</v>
      </c>
      <c r="B876" s="378" t="s">
        <v>1656</v>
      </c>
      <c r="C876" s="369" t="s">
        <v>1657</v>
      </c>
      <c r="D876" s="369" t="s">
        <v>31</v>
      </c>
      <c r="E876" s="53">
        <v>2025</v>
      </c>
      <c r="F876" s="376" t="s">
        <v>1658</v>
      </c>
      <c r="G876" s="379">
        <v>195</v>
      </c>
      <c r="H876" s="379"/>
      <c r="I876" s="379"/>
      <c r="J876" s="379"/>
      <c r="K876" s="379">
        <v>195</v>
      </c>
      <c r="L876" s="374"/>
      <c r="M876" s="512">
        <f t="shared" si="196"/>
        <v>200</v>
      </c>
      <c r="N876" s="211"/>
      <c r="O876" s="211"/>
      <c r="P876" s="211"/>
      <c r="Q876" s="211"/>
      <c r="R876" s="211"/>
      <c r="S876" s="375">
        <v>200</v>
      </c>
      <c r="T876" s="37"/>
      <c r="V876" s="6">
        <f t="shared" si="197"/>
        <v>0</v>
      </c>
    </row>
    <row r="877" spans="1:22" ht="45">
      <c r="A877" s="373">
        <f t="shared" si="201"/>
        <v>7</v>
      </c>
      <c r="B877" s="378" t="s">
        <v>1659</v>
      </c>
      <c r="C877" s="369" t="s">
        <v>1660</v>
      </c>
      <c r="D877" s="369" t="s">
        <v>31</v>
      </c>
      <c r="E877" s="53">
        <v>2025</v>
      </c>
      <c r="F877" s="376" t="s">
        <v>1661</v>
      </c>
      <c r="G877" s="379">
        <v>156</v>
      </c>
      <c r="H877" s="379"/>
      <c r="I877" s="379"/>
      <c r="J877" s="379"/>
      <c r="K877" s="379">
        <v>156</v>
      </c>
      <c r="L877" s="374"/>
      <c r="M877" s="512">
        <f t="shared" si="196"/>
        <v>150</v>
      </c>
      <c r="N877" s="211"/>
      <c r="O877" s="211"/>
      <c r="P877" s="211"/>
      <c r="Q877" s="211"/>
      <c r="R877" s="211"/>
      <c r="S877" s="375">
        <v>150</v>
      </c>
      <c r="T877" s="37"/>
      <c r="V877" s="6">
        <f t="shared" si="197"/>
        <v>0</v>
      </c>
    </row>
    <row r="878" spans="1:22" ht="45">
      <c r="A878" s="373">
        <f t="shared" si="201"/>
        <v>8</v>
      </c>
      <c r="B878" s="378" t="s">
        <v>1662</v>
      </c>
      <c r="C878" s="369" t="s">
        <v>1660</v>
      </c>
      <c r="D878" s="369" t="s">
        <v>31</v>
      </c>
      <c r="E878" s="53">
        <v>2025</v>
      </c>
      <c r="F878" s="376" t="s">
        <v>1663</v>
      </c>
      <c r="G878" s="379">
        <v>108</v>
      </c>
      <c r="H878" s="379"/>
      <c r="I878" s="379"/>
      <c r="J878" s="379"/>
      <c r="K878" s="379">
        <v>108</v>
      </c>
      <c r="L878" s="374"/>
      <c r="M878" s="512">
        <f t="shared" si="196"/>
        <v>100</v>
      </c>
      <c r="N878" s="211"/>
      <c r="O878" s="211"/>
      <c r="P878" s="211"/>
      <c r="Q878" s="211"/>
      <c r="R878" s="211"/>
      <c r="S878" s="375">
        <v>100</v>
      </c>
      <c r="T878" s="37"/>
      <c r="V878" s="6">
        <f t="shared" si="197"/>
        <v>0</v>
      </c>
    </row>
    <row r="879" spans="1:22" ht="45">
      <c r="A879" s="373">
        <f t="shared" si="201"/>
        <v>9</v>
      </c>
      <c r="B879" s="378" t="s">
        <v>1664</v>
      </c>
      <c r="C879" s="369" t="s">
        <v>1660</v>
      </c>
      <c r="D879" s="369" t="s">
        <v>31</v>
      </c>
      <c r="E879" s="53">
        <v>2025</v>
      </c>
      <c r="F879" s="376" t="s">
        <v>1665</v>
      </c>
      <c r="G879" s="379">
        <v>199</v>
      </c>
      <c r="H879" s="379"/>
      <c r="I879" s="379"/>
      <c r="J879" s="379"/>
      <c r="K879" s="379">
        <v>199</v>
      </c>
      <c r="L879" s="374"/>
      <c r="M879" s="512">
        <f t="shared" si="196"/>
        <v>150</v>
      </c>
      <c r="N879" s="211"/>
      <c r="O879" s="211"/>
      <c r="P879" s="211"/>
      <c r="Q879" s="211"/>
      <c r="R879" s="211"/>
      <c r="S879" s="375">
        <v>150</v>
      </c>
      <c r="T879" s="37"/>
      <c r="V879" s="6">
        <f t="shared" si="197"/>
        <v>0</v>
      </c>
    </row>
    <row r="880" spans="1:22" ht="45">
      <c r="A880" s="373">
        <f t="shared" si="201"/>
        <v>10</v>
      </c>
      <c r="B880" s="378" t="s">
        <v>1666</v>
      </c>
      <c r="C880" s="369" t="s">
        <v>1660</v>
      </c>
      <c r="D880" s="369" t="s">
        <v>31</v>
      </c>
      <c r="E880" s="53">
        <v>2025</v>
      </c>
      <c r="F880" s="376" t="s">
        <v>1658</v>
      </c>
      <c r="G880" s="379">
        <v>224</v>
      </c>
      <c r="H880" s="379"/>
      <c r="I880" s="379"/>
      <c r="J880" s="379"/>
      <c r="K880" s="379">
        <v>224</v>
      </c>
      <c r="L880" s="374"/>
      <c r="M880" s="512">
        <f t="shared" ref="M880:M943" si="203">SUM(N880:S880)</f>
        <v>150</v>
      </c>
      <c r="N880" s="211"/>
      <c r="O880" s="211"/>
      <c r="P880" s="211"/>
      <c r="Q880" s="211"/>
      <c r="R880" s="211"/>
      <c r="S880" s="375">
        <v>150</v>
      </c>
      <c r="T880" s="37"/>
      <c r="V880" s="6">
        <f t="shared" si="197"/>
        <v>0</v>
      </c>
    </row>
    <row r="881" spans="1:22" ht="45">
      <c r="A881" s="373">
        <f t="shared" si="201"/>
        <v>11</v>
      </c>
      <c r="B881" s="378" t="s">
        <v>1667</v>
      </c>
      <c r="C881" s="369" t="s">
        <v>1668</v>
      </c>
      <c r="D881" s="369" t="s">
        <v>31</v>
      </c>
      <c r="E881" s="53">
        <v>2025</v>
      </c>
      <c r="F881" s="380" t="s">
        <v>1669</v>
      </c>
      <c r="G881" s="379">
        <v>166</v>
      </c>
      <c r="H881" s="379"/>
      <c r="I881" s="379"/>
      <c r="J881" s="379"/>
      <c r="K881" s="379">
        <v>166</v>
      </c>
      <c r="L881" s="374"/>
      <c r="M881" s="512">
        <f t="shared" si="203"/>
        <v>150</v>
      </c>
      <c r="N881" s="211"/>
      <c r="O881" s="211"/>
      <c r="P881" s="211"/>
      <c r="Q881" s="211"/>
      <c r="R881" s="211"/>
      <c r="S881" s="375">
        <v>150</v>
      </c>
      <c r="T881" s="37"/>
      <c r="V881" s="6">
        <f t="shared" si="197"/>
        <v>0</v>
      </c>
    </row>
    <row r="882" spans="1:22" ht="45">
      <c r="A882" s="373">
        <f t="shared" si="201"/>
        <v>12</v>
      </c>
      <c r="B882" s="378" t="s">
        <v>1670</v>
      </c>
      <c r="C882" s="369" t="s">
        <v>1668</v>
      </c>
      <c r="D882" s="369" t="s">
        <v>31</v>
      </c>
      <c r="E882" s="53">
        <v>2025</v>
      </c>
      <c r="F882" s="380" t="s">
        <v>1671</v>
      </c>
      <c r="G882" s="379">
        <v>247</v>
      </c>
      <c r="H882" s="379"/>
      <c r="I882" s="379"/>
      <c r="J882" s="379"/>
      <c r="K882" s="379">
        <v>247</v>
      </c>
      <c r="L882" s="374"/>
      <c r="M882" s="512">
        <f t="shared" si="203"/>
        <v>200</v>
      </c>
      <c r="N882" s="211"/>
      <c r="O882" s="211"/>
      <c r="P882" s="211"/>
      <c r="Q882" s="211"/>
      <c r="R882" s="211"/>
      <c r="S882" s="375">
        <v>200</v>
      </c>
      <c r="T882" s="37"/>
      <c r="V882" s="6">
        <f t="shared" si="197"/>
        <v>0</v>
      </c>
    </row>
    <row r="883" spans="1:22" ht="45">
      <c r="A883" s="373">
        <f t="shared" si="201"/>
        <v>13</v>
      </c>
      <c r="B883" s="378" t="s">
        <v>1672</v>
      </c>
      <c r="C883" s="369" t="s">
        <v>1673</v>
      </c>
      <c r="D883" s="369" t="s">
        <v>31</v>
      </c>
      <c r="E883" s="53">
        <v>2025</v>
      </c>
      <c r="F883" s="380" t="s">
        <v>1674</v>
      </c>
      <c r="G883" s="379">
        <v>207</v>
      </c>
      <c r="H883" s="379"/>
      <c r="I883" s="379"/>
      <c r="J883" s="379"/>
      <c r="K883" s="379">
        <v>207</v>
      </c>
      <c r="L883" s="374"/>
      <c r="M883" s="512">
        <f t="shared" si="203"/>
        <v>150</v>
      </c>
      <c r="N883" s="211"/>
      <c r="O883" s="211"/>
      <c r="P883" s="211"/>
      <c r="Q883" s="211"/>
      <c r="R883" s="211"/>
      <c r="S883" s="375">
        <v>150</v>
      </c>
      <c r="T883" s="37"/>
      <c r="V883" s="6">
        <f t="shared" si="197"/>
        <v>0</v>
      </c>
    </row>
    <row r="884" spans="1:22" ht="45">
      <c r="A884" s="373">
        <f t="shared" si="201"/>
        <v>14</v>
      </c>
      <c r="B884" s="92" t="s">
        <v>1675</v>
      </c>
      <c r="C884" s="369" t="s">
        <v>1676</v>
      </c>
      <c r="D884" s="369" t="s">
        <v>31</v>
      </c>
      <c r="E884" s="53">
        <v>2025</v>
      </c>
      <c r="F884" s="380" t="s">
        <v>1677</v>
      </c>
      <c r="G884" s="377">
        <v>249</v>
      </c>
      <c r="H884" s="377"/>
      <c r="I884" s="377"/>
      <c r="J884" s="377"/>
      <c r="K884" s="377">
        <f>G884</f>
        <v>249</v>
      </c>
      <c r="L884" s="374"/>
      <c r="M884" s="512">
        <f t="shared" si="203"/>
        <v>150</v>
      </c>
      <c r="N884" s="211"/>
      <c r="O884" s="211"/>
      <c r="P884" s="211"/>
      <c r="Q884" s="211"/>
      <c r="R884" s="211"/>
      <c r="S884" s="375">
        <v>150</v>
      </c>
      <c r="T884" s="37"/>
      <c r="V884" s="6">
        <f t="shared" si="197"/>
        <v>0</v>
      </c>
    </row>
    <row r="885" spans="1:22" ht="45">
      <c r="A885" s="373">
        <f t="shared" si="201"/>
        <v>15</v>
      </c>
      <c r="B885" s="92" t="s">
        <v>1678</v>
      </c>
      <c r="C885" s="369" t="s">
        <v>1647</v>
      </c>
      <c r="D885" s="369" t="s">
        <v>31</v>
      </c>
      <c r="E885" s="53">
        <v>2025</v>
      </c>
      <c r="F885" s="380" t="s">
        <v>1679</v>
      </c>
      <c r="G885" s="377">
        <v>541</v>
      </c>
      <c r="H885" s="377"/>
      <c r="I885" s="377"/>
      <c r="J885" s="377"/>
      <c r="K885" s="377">
        <f t="shared" ref="K885:K886" si="204">G885</f>
        <v>541</v>
      </c>
      <c r="L885" s="374"/>
      <c r="M885" s="512">
        <f t="shared" si="203"/>
        <v>200</v>
      </c>
      <c r="N885" s="211"/>
      <c r="O885" s="211"/>
      <c r="P885" s="211"/>
      <c r="Q885" s="211"/>
      <c r="R885" s="211"/>
      <c r="S885" s="375">
        <v>200</v>
      </c>
      <c r="T885" s="37"/>
      <c r="V885" s="6">
        <f t="shared" si="197"/>
        <v>0</v>
      </c>
    </row>
    <row r="886" spans="1:22" ht="45">
      <c r="A886" s="373">
        <f t="shared" si="201"/>
        <v>16</v>
      </c>
      <c r="B886" s="92" t="s">
        <v>1680</v>
      </c>
      <c r="C886" s="369" t="s">
        <v>1647</v>
      </c>
      <c r="D886" s="369" t="s">
        <v>31</v>
      </c>
      <c r="E886" s="53">
        <v>2025</v>
      </c>
      <c r="F886" s="380" t="s">
        <v>1681</v>
      </c>
      <c r="G886" s="377">
        <v>453</v>
      </c>
      <c r="H886" s="377"/>
      <c r="I886" s="377"/>
      <c r="J886" s="377"/>
      <c r="K886" s="377">
        <f t="shared" si="204"/>
        <v>453</v>
      </c>
      <c r="L886" s="374"/>
      <c r="M886" s="512">
        <f t="shared" si="203"/>
        <v>250</v>
      </c>
      <c r="N886" s="211"/>
      <c r="O886" s="211"/>
      <c r="P886" s="211"/>
      <c r="Q886" s="211"/>
      <c r="R886" s="211"/>
      <c r="S886" s="375">
        <v>250</v>
      </c>
      <c r="T886" s="37"/>
      <c r="V886" s="6">
        <f t="shared" si="197"/>
        <v>0</v>
      </c>
    </row>
    <row r="887" spans="1:22" ht="45">
      <c r="A887" s="373">
        <f t="shared" si="201"/>
        <v>17</v>
      </c>
      <c r="B887" s="92" t="s">
        <v>1682</v>
      </c>
      <c r="C887" s="369" t="s">
        <v>1660</v>
      </c>
      <c r="D887" s="369" t="s">
        <v>31</v>
      </c>
      <c r="E887" s="53">
        <v>2025</v>
      </c>
      <c r="F887" s="380" t="s">
        <v>1683</v>
      </c>
      <c r="G887" s="377">
        <v>300</v>
      </c>
      <c r="H887" s="377"/>
      <c r="I887" s="377"/>
      <c r="J887" s="377"/>
      <c r="K887" s="377">
        <v>300</v>
      </c>
      <c r="L887" s="374"/>
      <c r="M887" s="512">
        <f t="shared" si="203"/>
        <v>250</v>
      </c>
      <c r="N887" s="211"/>
      <c r="O887" s="211"/>
      <c r="P887" s="211"/>
      <c r="Q887" s="211"/>
      <c r="R887" s="211"/>
      <c r="S887" s="375">
        <v>250</v>
      </c>
      <c r="T887" s="37"/>
      <c r="V887" s="6">
        <f t="shared" si="197"/>
        <v>0</v>
      </c>
    </row>
    <row r="888" spans="1:22" ht="24.75" customHeight="1">
      <c r="A888" s="366" t="s">
        <v>1684</v>
      </c>
      <c r="B888" s="367" t="s">
        <v>70</v>
      </c>
      <c r="C888" s="369"/>
      <c r="D888" s="366"/>
      <c r="E888" s="369"/>
      <c r="F888" s="370">
        <f>F889+F906</f>
        <v>0</v>
      </c>
      <c r="G888" s="371">
        <f>G889+G906</f>
        <v>1152637.2380419997</v>
      </c>
      <c r="H888" s="371"/>
      <c r="I888" s="371"/>
      <c r="J888" s="371"/>
      <c r="K888" s="371">
        <f>K889+K906</f>
        <v>1152637.2380419997</v>
      </c>
      <c r="L888" s="371">
        <f>L889+L906</f>
        <v>139286.91818099999</v>
      </c>
      <c r="M888" s="512">
        <f t="shared" si="203"/>
        <v>750910</v>
      </c>
      <c r="N888" s="211"/>
      <c r="O888" s="211"/>
      <c r="P888" s="211"/>
      <c r="Q888" s="211"/>
      <c r="R888" s="211"/>
      <c r="S888" s="372">
        <f>S889+S906</f>
        <v>750910</v>
      </c>
      <c r="T888" s="37"/>
      <c r="V888" s="6">
        <f t="shared" si="197"/>
        <v>0</v>
      </c>
    </row>
    <row r="889" spans="1:22" ht="28.5">
      <c r="A889" s="366" t="s">
        <v>71</v>
      </c>
      <c r="B889" s="367" t="s">
        <v>72</v>
      </c>
      <c r="C889" s="369"/>
      <c r="D889" s="366"/>
      <c r="E889" s="369"/>
      <c r="F889" s="370">
        <f t="shared" ref="F889:L889" si="205">SUM(F890:F905)</f>
        <v>0</v>
      </c>
      <c r="G889" s="371">
        <f t="shared" si="205"/>
        <v>172121.53921700001</v>
      </c>
      <c r="H889" s="371"/>
      <c r="I889" s="371"/>
      <c r="J889" s="371"/>
      <c r="K889" s="371">
        <f t="shared" si="205"/>
        <v>172121.53921700001</v>
      </c>
      <c r="L889" s="371">
        <f t="shared" si="205"/>
        <v>139286.91818099999</v>
      </c>
      <c r="M889" s="512">
        <f t="shared" si="203"/>
        <v>5611</v>
      </c>
      <c r="N889" s="211"/>
      <c r="O889" s="211"/>
      <c r="P889" s="211"/>
      <c r="Q889" s="211"/>
      <c r="R889" s="211"/>
      <c r="S889" s="372">
        <f>SUM(S890:S905)</f>
        <v>5611</v>
      </c>
      <c r="T889" s="37"/>
      <c r="V889" s="6">
        <f t="shared" si="197"/>
        <v>0</v>
      </c>
    </row>
    <row r="890" spans="1:22" ht="30">
      <c r="A890" s="373">
        <v>1</v>
      </c>
      <c r="B890" s="381" t="s">
        <v>1685</v>
      </c>
      <c r="C890" s="369" t="s">
        <v>1686</v>
      </c>
      <c r="D890" s="373" t="s">
        <v>31</v>
      </c>
      <c r="E890" s="369" t="s">
        <v>1687</v>
      </c>
      <c r="F890" s="369" t="s">
        <v>1688</v>
      </c>
      <c r="G890" s="374">
        <v>5141</v>
      </c>
      <c r="H890" s="374"/>
      <c r="I890" s="374"/>
      <c r="J890" s="374"/>
      <c r="K890" s="374">
        <f t="shared" ref="K890:K896" si="206">G890</f>
        <v>5141</v>
      </c>
      <c r="L890" s="382">
        <v>4603.4690000000001</v>
      </c>
      <c r="M890" s="512">
        <f t="shared" si="203"/>
        <v>210</v>
      </c>
      <c r="N890" s="211"/>
      <c r="O890" s="211"/>
      <c r="P890" s="211"/>
      <c r="Q890" s="211"/>
      <c r="R890" s="211"/>
      <c r="S890" s="375">
        <v>210</v>
      </c>
      <c r="T890" s="37"/>
      <c r="V890" s="6">
        <f t="shared" si="197"/>
        <v>0</v>
      </c>
    </row>
    <row r="891" spans="1:22">
      <c r="A891" s="373">
        <f>A890+1</f>
        <v>2</v>
      </c>
      <c r="B891" s="381" t="s">
        <v>1689</v>
      </c>
      <c r="C891" s="369" t="s">
        <v>1657</v>
      </c>
      <c r="D891" s="12" t="s">
        <v>31</v>
      </c>
      <c r="E891" s="53" t="s">
        <v>238</v>
      </c>
      <c r="F891" s="369" t="s">
        <v>1690</v>
      </c>
      <c r="G891" s="383">
        <v>14906.597</v>
      </c>
      <c r="H891" s="383"/>
      <c r="I891" s="383"/>
      <c r="J891" s="383"/>
      <c r="K891" s="374">
        <f t="shared" si="206"/>
        <v>14906.597</v>
      </c>
      <c r="L891" s="384">
        <v>10071</v>
      </c>
      <c r="M891" s="512">
        <f t="shared" si="203"/>
        <v>300</v>
      </c>
      <c r="N891" s="211"/>
      <c r="O891" s="211"/>
      <c r="P891" s="211"/>
      <c r="Q891" s="211"/>
      <c r="R891" s="211"/>
      <c r="S891" s="375">
        <v>300</v>
      </c>
      <c r="T891" s="37"/>
      <c r="V891" s="6">
        <f t="shared" si="197"/>
        <v>0</v>
      </c>
    </row>
    <row r="892" spans="1:22" ht="30">
      <c r="A892" s="373">
        <f t="shared" ref="A892:A905" si="207">A891+1</f>
        <v>3</v>
      </c>
      <c r="B892" s="385" t="s">
        <v>1691</v>
      </c>
      <c r="C892" s="369" t="s">
        <v>1692</v>
      </c>
      <c r="D892" s="12" t="s">
        <v>31</v>
      </c>
      <c r="E892" s="12" t="s">
        <v>1693</v>
      </c>
      <c r="F892" s="53" t="s">
        <v>1694</v>
      </c>
      <c r="G892" s="386">
        <v>45401</v>
      </c>
      <c r="H892" s="386"/>
      <c r="I892" s="386"/>
      <c r="J892" s="386"/>
      <c r="K892" s="374">
        <f t="shared" si="206"/>
        <v>45401</v>
      </c>
      <c r="L892" s="382">
        <f>12000+3054+22847</f>
        <v>37901</v>
      </c>
      <c r="M892" s="512">
        <f t="shared" si="203"/>
        <v>411</v>
      </c>
      <c r="N892" s="211"/>
      <c r="O892" s="211"/>
      <c r="P892" s="211"/>
      <c r="Q892" s="211"/>
      <c r="R892" s="211"/>
      <c r="S892" s="375">
        <v>411</v>
      </c>
      <c r="T892" s="37"/>
      <c r="V892" s="6">
        <f t="shared" si="197"/>
        <v>0</v>
      </c>
    </row>
    <row r="893" spans="1:22" ht="45">
      <c r="A893" s="373">
        <f t="shared" si="207"/>
        <v>4</v>
      </c>
      <c r="B893" s="385" t="s">
        <v>1695</v>
      </c>
      <c r="C893" s="369" t="s">
        <v>1660</v>
      </c>
      <c r="D893" s="12" t="s">
        <v>31</v>
      </c>
      <c r="E893" s="12" t="s">
        <v>369</v>
      </c>
      <c r="F893" s="369" t="s">
        <v>1696</v>
      </c>
      <c r="G893" s="374">
        <v>10208</v>
      </c>
      <c r="H893" s="374"/>
      <c r="I893" s="374"/>
      <c r="J893" s="374"/>
      <c r="K893" s="374">
        <f t="shared" si="206"/>
        <v>10208</v>
      </c>
      <c r="L893" s="382">
        <f>1968+1871</f>
        <v>3839</v>
      </c>
      <c r="M893" s="512">
        <f t="shared" si="203"/>
        <v>195</v>
      </c>
      <c r="N893" s="211"/>
      <c r="O893" s="211"/>
      <c r="P893" s="211"/>
      <c r="Q893" s="211"/>
      <c r="R893" s="211"/>
      <c r="S893" s="375">
        <v>195</v>
      </c>
      <c r="T893" s="37"/>
      <c r="V893" s="6">
        <f t="shared" si="197"/>
        <v>0</v>
      </c>
    </row>
    <row r="894" spans="1:22" ht="30">
      <c r="A894" s="373">
        <f t="shared" si="207"/>
        <v>5</v>
      </c>
      <c r="B894" s="387" t="s">
        <v>1697</v>
      </c>
      <c r="C894" s="369" t="s">
        <v>1698</v>
      </c>
      <c r="D894" s="12" t="s">
        <v>26</v>
      </c>
      <c r="E894" s="53" t="s">
        <v>242</v>
      </c>
      <c r="F894" s="53" t="s">
        <v>1699</v>
      </c>
      <c r="G894" s="374">
        <v>40345</v>
      </c>
      <c r="H894" s="374"/>
      <c r="I894" s="374"/>
      <c r="J894" s="374"/>
      <c r="K894" s="374">
        <f t="shared" si="206"/>
        <v>40345</v>
      </c>
      <c r="L894" s="384">
        <f>13400+22285</f>
        <v>35685</v>
      </c>
      <c r="M894" s="512">
        <f t="shared" si="203"/>
        <v>73</v>
      </c>
      <c r="N894" s="211"/>
      <c r="O894" s="211"/>
      <c r="P894" s="211"/>
      <c r="Q894" s="211"/>
      <c r="R894" s="211"/>
      <c r="S894" s="375">
        <v>73</v>
      </c>
      <c r="T894" s="37"/>
      <c r="V894" s="6">
        <f t="shared" si="197"/>
        <v>0</v>
      </c>
    </row>
    <row r="895" spans="1:22" ht="30">
      <c r="A895" s="373">
        <f t="shared" si="207"/>
        <v>6</v>
      </c>
      <c r="B895" s="388" t="s">
        <v>1700</v>
      </c>
      <c r="C895" s="369" t="s">
        <v>1654</v>
      </c>
      <c r="D895" s="12" t="s">
        <v>31</v>
      </c>
      <c r="E895" s="369" t="s">
        <v>880</v>
      </c>
      <c r="F895" s="369" t="s">
        <v>1701</v>
      </c>
      <c r="G895" s="383">
        <v>14144.721164</v>
      </c>
      <c r="H895" s="383"/>
      <c r="I895" s="383"/>
      <c r="J895" s="383"/>
      <c r="K895" s="374">
        <f t="shared" si="206"/>
        <v>14144.721164</v>
      </c>
      <c r="L895" s="384">
        <v>10637</v>
      </c>
      <c r="M895" s="512">
        <f t="shared" si="203"/>
        <v>494</v>
      </c>
      <c r="N895" s="211"/>
      <c r="O895" s="211"/>
      <c r="P895" s="211"/>
      <c r="Q895" s="211"/>
      <c r="R895" s="211"/>
      <c r="S895" s="375">
        <v>494</v>
      </c>
      <c r="T895" s="37"/>
      <c r="V895" s="6">
        <f t="shared" si="197"/>
        <v>0</v>
      </c>
    </row>
    <row r="896" spans="1:22" ht="30">
      <c r="A896" s="373">
        <f t="shared" si="207"/>
        <v>7</v>
      </c>
      <c r="B896" s="59" t="s">
        <v>1702</v>
      </c>
      <c r="C896" s="369" t="s">
        <v>1703</v>
      </c>
      <c r="D896" s="12" t="s">
        <v>31</v>
      </c>
      <c r="E896" s="369" t="s">
        <v>454</v>
      </c>
      <c r="F896" s="53" t="s">
        <v>1704</v>
      </c>
      <c r="G896" s="374">
        <v>13991.680764999999</v>
      </c>
      <c r="H896" s="374"/>
      <c r="I896" s="374"/>
      <c r="J896" s="374"/>
      <c r="K896" s="374">
        <f t="shared" si="206"/>
        <v>13991.680764999999</v>
      </c>
      <c r="L896" s="374">
        <v>11823</v>
      </c>
      <c r="M896" s="512">
        <f t="shared" si="203"/>
        <v>435</v>
      </c>
      <c r="N896" s="211"/>
      <c r="O896" s="211"/>
      <c r="P896" s="211"/>
      <c r="Q896" s="211"/>
      <c r="R896" s="211"/>
      <c r="S896" s="375">
        <v>435</v>
      </c>
      <c r="T896" s="37"/>
      <c r="V896" s="6">
        <f t="shared" si="197"/>
        <v>0</v>
      </c>
    </row>
    <row r="897" spans="1:22" ht="30">
      <c r="A897" s="373">
        <f t="shared" si="207"/>
        <v>8</v>
      </c>
      <c r="B897" s="52" t="s">
        <v>1705</v>
      </c>
      <c r="C897" s="369" t="s">
        <v>1668</v>
      </c>
      <c r="D897" s="12" t="s">
        <v>31</v>
      </c>
      <c r="E897" s="53">
        <v>2016</v>
      </c>
      <c r="F897" s="53" t="s">
        <v>1706</v>
      </c>
      <c r="G897" s="374">
        <v>900</v>
      </c>
      <c r="H897" s="374"/>
      <c r="I897" s="374"/>
      <c r="J897" s="374"/>
      <c r="K897" s="374">
        <v>900</v>
      </c>
      <c r="L897" s="382">
        <v>835</v>
      </c>
      <c r="M897" s="512">
        <f t="shared" si="203"/>
        <v>92</v>
      </c>
      <c r="N897" s="211"/>
      <c r="O897" s="211"/>
      <c r="P897" s="211"/>
      <c r="Q897" s="211"/>
      <c r="R897" s="211"/>
      <c r="S897" s="375">
        <v>92</v>
      </c>
      <c r="T897" s="37"/>
      <c r="V897" s="6">
        <f t="shared" si="197"/>
        <v>0</v>
      </c>
    </row>
    <row r="898" spans="1:22" ht="30">
      <c r="A898" s="373">
        <f t="shared" si="207"/>
        <v>9</v>
      </c>
      <c r="B898" s="389" t="s">
        <v>1707</v>
      </c>
      <c r="C898" s="369" t="s">
        <v>1692</v>
      </c>
      <c r="D898" s="12" t="s">
        <v>31</v>
      </c>
      <c r="E898" s="53" t="s">
        <v>880</v>
      </c>
      <c r="F898" s="369" t="s">
        <v>1708</v>
      </c>
      <c r="G898" s="374">
        <v>745.38278400000002</v>
      </c>
      <c r="H898" s="374"/>
      <c r="I898" s="374"/>
      <c r="J898" s="374"/>
      <c r="K898" s="374">
        <v>745.38278400000002</v>
      </c>
      <c r="L898" s="384">
        <v>5306</v>
      </c>
      <c r="M898" s="512">
        <f t="shared" si="203"/>
        <v>18</v>
      </c>
      <c r="N898" s="211"/>
      <c r="O898" s="211"/>
      <c r="P898" s="211"/>
      <c r="Q898" s="211"/>
      <c r="R898" s="211"/>
      <c r="S898" s="375">
        <v>18</v>
      </c>
      <c r="T898" s="37"/>
      <c r="V898" s="6">
        <f t="shared" si="197"/>
        <v>0</v>
      </c>
    </row>
    <row r="899" spans="1:22" ht="30.75" customHeight="1">
      <c r="A899" s="373">
        <f t="shared" si="207"/>
        <v>10</v>
      </c>
      <c r="B899" s="388" t="s">
        <v>1709</v>
      </c>
      <c r="C899" s="369" t="s">
        <v>1710</v>
      </c>
      <c r="D899" s="373" t="s">
        <v>31</v>
      </c>
      <c r="E899" s="390">
        <v>2020</v>
      </c>
      <c r="F899" s="369" t="s">
        <v>1711</v>
      </c>
      <c r="G899" s="374">
        <v>1478.9347439999999</v>
      </c>
      <c r="H899" s="374"/>
      <c r="I899" s="374"/>
      <c r="J899" s="374"/>
      <c r="K899" s="374">
        <f t="shared" ref="K899:K902" si="208">G899</f>
        <v>1478.9347439999999</v>
      </c>
      <c r="L899" s="382">
        <v>1210.110181</v>
      </c>
      <c r="M899" s="512">
        <f t="shared" si="203"/>
        <v>100</v>
      </c>
      <c r="N899" s="211"/>
      <c r="O899" s="211"/>
      <c r="P899" s="211"/>
      <c r="Q899" s="211"/>
      <c r="R899" s="211"/>
      <c r="S899" s="375">
        <v>100</v>
      </c>
      <c r="T899" s="37"/>
      <c r="V899" s="6">
        <f t="shared" si="197"/>
        <v>0</v>
      </c>
    </row>
    <row r="900" spans="1:22" ht="30">
      <c r="A900" s="373">
        <f t="shared" si="207"/>
        <v>11</v>
      </c>
      <c r="B900" s="52" t="s">
        <v>1712</v>
      </c>
      <c r="C900" s="369" t="s">
        <v>1676</v>
      </c>
      <c r="D900" s="12" t="s">
        <v>31</v>
      </c>
      <c r="E900" s="390">
        <v>2019</v>
      </c>
      <c r="F900" s="53" t="s">
        <v>1713</v>
      </c>
      <c r="G900" s="374">
        <v>1948.9185219999999</v>
      </c>
      <c r="H900" s="374"/>
      <c r="I900" s="374"/>
      <c r="J900" s="374"/>
      <c r="K900" s="374">
        <f t="shared" si="208"/>
        <v>1948.9185219999999</v>
      </c>
      <c r="L900" s="374">
        <v>1724.3389999999999</v>
      </c>
      <c r="M900" s="512">
        <f t="shared" si="203"/>
        <v>148</v>
      </c>
      <c r="N900" s="211"/>
      <c r="O900" s="211"/>
      <c r="P900" s="211"/>
      <c r="Q900" s="211"/>
      <c r="R900" s="211"/>
      <c r="S900" s="375">
        <v>148</v>
      </c>
      <c r="T900" s="37"/>
      <c r="V900" s="6">
        <f t="shared" si="197"/>
        <v>0</v>
      </c>
    </row>
    <row r="901" spans="1:22" ht="30">
      <c r="A901" s="373">
        <f t="shared" si="207"/>
        <v>12</v>
      </c>
      <c r="B901" s="391" t="s">
        <v>1714</v>
      </c>
      <c r="C901" s="369" t="s">
        <v>1654</v>
      </c>
      <c r="D901" s="12" t="s">
        <v>31</v>
      </c>
      <c r="E901" s="53" t="s">
        <v>880</v>
      </c>
      <c r="F901" s="53" t="s">
        <v>1715</v>
      </c>
      <c r="G901" s="392">
        <v>1819</v>
      </c>
      <c r="H901" s="392"/>
      <c r="I901" s="392"/>
      <c r="J901" s="392"/>
      <c r="K901" s="374">
        <f t="shared" si="208"/>
        <v>1819</v>
      </c>
      <c r="L901" s="374">
        <v>1439</v>
      </c>
      <c r="M901" s="512">
        <f t="shared" si="203"/>
        <v>154</v>
      </c>
      <c r="N901" s="211"/>
      <c r="O901" s="211"/>
      <c r="P901" s="211"/>
      <c r="Q901" s="211"/>
      <c r="R901" s="211"/>
      <c r="S901" s="375">
        <v>154</v>
      </c>
      <c r="T901" s="37"/>
      <c r="V901" s="6">
        <f t="shared" si="197"/>
        <v>0</v>
      </c>
    </row>
    <row r="902" spans="1:22" ht="45">
      <c r="A902" s="373">
        <f t="shared" si="207"/>
        <v>13</v>
      </c>
      <c r="B902" s="385" t="s">
        <v>1716</v>
      </c>
      <c r="C902" s="369" t="s">
        <v>1692</v>
      </c>
      <c r="D902" s="12" t="s">
        <v>31</v>
      </c>
      <c r="E902" s="12">
        <v>2019</v>
      </c>
      <c r="F902" s="53" t="s">
        <v>1717</v>
      </c>
      <c r="G902" s="383">
        <v>3000</v>
      </c>
      <c r="H902" s="383"/>
      <c r="I902" s="383"/>
      <c r="J902" s="383"/>
      <c r="K902" s="374">
        <f t="shared" si="208"/>
        <v>3000</v>
      </c>
      <c r="L902" s="374">
        <v>2830</v>
      </c>
      <c r="M902" s="512">
        <f t="shared" si="203"/>
        <v>214</v>
      </c>
      <c r="N902" s="211"/>
      <c r="O902" s="211"/>
      <c r="P902" s="211"/>
      <c r="Q902" s="211"/>
      <c r="R902" s="211"/>
      <c r="S902" s="375">
        <v>214</v>
      </c>
      <c r="T902" s="37"/>
      <c r="V902" s="6">
        <f t="shared" si="197"/>
        <v>0</v>
      </c>
    </row>
    <row r="903" spans="1:22">
      <c r="A903" s="373">
        <f t="shared" si="207"/>
        <v>14</v>
      </c>
      <c r="B903" s="381" t="s">
        <v>1718</v>
      </c>
      <c r="C903" s="369" t="s">
        <v>1719</v>
      </c>
      <c r="D903" s="373" t="s">
        <v>31</v>
      </c>
      <c r="E903" s="369" t="s">
        <v>41</v>
      </c>
      <c r="F903" s="393" t="s">
        <v>1720</v>
      </c>
      <c r="G903" s="382">
        <v>7797.9798730000002</v>
      </c>
      <c r="H903" s="382"/>
      <c r="I903" s="382"/>
      <c r="J903" s="382"/>
      <c r="K903" s="382">
        <v>7797.9798730000002</v>
      </c>
      <c r="L903" s="382">
        <v>4000</v>
      </c>
      <c r="M903" s="512">
        <f t="shared" si="203"/>
        <v>2350</v>
      </c>
      <c r="N903" s="211"/>
      <c r="O903" s="211"/>
      <c r="P903" s="211"/>
      <c r="Q903" s="211"/>
      <c r="R903" s="211"/>
      <c r="S903" s="375">
        <v>2350</v>
      </c>
      <c r="T903" s="37"/>
      <c r="V903" s="6">
        <f t="shared" si="197"/>
        <v>0</v>
      </c>
    </row>
    <row r="904" spans="1:22" ht="30">
      <c r="A904" s="373">
        <f t="shared" si="207"/>
        <v>15</v>
      </c>
      <c r="B904" s="52" t="s">
        <v>1721</v>
      </c>
      <c r="C904" s="369" t="s">
        <v>1657</v>
      </c>
      <c r="D904" s="373" t="s">
        <v>31</v>
      </c>
      <c r="E904" s="53" t="s">
        <v>1722</v>
      </c>
      <c r="F904" s="394" t="s">
        <v>1723</v>
      </c>
      <c r="G904" s="374">
        <v>8860</v>
      </c>
      <c r="H904" s="374"/>
      <c r="I904" s="374"/>
      <c r="J904" s="374"/>
      <c r="K904" s="374">
        <f t="shared" ref="K904:K905" si="209">G904</f>
        <v>8860</v>
      </c>
      <c r="L904" s="382">
        <v>6200</v>
      </c>
      <c r="M904" s="512">
        <f t="shared" si="203"/>
        <v>287</v>
      </c>
      <c r="N904" s="211"/>
      <c r="O904" s="211"/>
      <c r="P904" s="211"/>
      <c r="Q904" s="211"/>
      <c r="R904" s="211"/>
      <c r="S904" s="375">
        <v>287</v>
      </c>
      <c r="T904" s="37"/>
      <c r="V904" s="6">
        <f t="shared" si="197"/>
        <v>0</v>
      </c>
    </row>
    <row r="905" spans="1:22" ht="30">
      <c r="A905" s="373">
        <f t="shared" si="207"/>
        <v>16</v>
      </c>
      <c r="B905" s="92" t="s">
        <v>1724</v>
      </c>
      <c r="C905" s="369" t="s">
        <v>1654</v>
      </c>
      <c r="D905" s="12" t="s">
        <v>31</v>
      </c>
      <c r="E905" s="12" t="s">
        <v>1725</v>
      </c>
      <c r="F905" s="53" t="s">
        <v>1726</v>
      </c>
      <c r="G905" s="386">
        <v>1433.3243649999999</v>
      </c>
      <c r="H905" s="386"/>
      <c r="I905" s="386"/>
      <c r="J905" s="386"/>
      <c r="K905" s="374">
        <f t="shared" si="209"/>
        <v>1433.3243649999999</v>
      </c>
      <c r="L905" s="374">
        <v>1183</v>
      </c>
      <c r="M905" s="512">
        <f t="shared" si="203"/>
        <v>130</v>
      </c>
      <c r="N905" s="211"/>
      <c r="O905" s="211"/>
      <c r="P905" s="211"/>
      <c r="Q905" s="211"/>
      <c r="R905" s="211"/>
      <c r="S905" s="375">
        <v>130</v>
      </c>
      <c r="T905" s="37"/>
      <c r="V905" s="6">
        <f t="shared" si="197"/>
        <v>0</v>
      </c>
    </row>
    <row r="906" spans="1:22">
      <c r="A906" s="366" t="s">
        <v>102</v>
      </c>
      <c r="B906" s="367" t="s">
        <v>1727</v>
      </c>
      <c r="C906" s="369"/>
      <c r="D906" s="366"/>
      <c r="E906" s="369"/>
      <c r="F906" s="370"/>
      <c r="G906" s="371">
        <f t="shared" ref="G906:S906" si="210">SUM(G907:G1012)</f>
        <v>980515.69882499985</v>
      </c>
      <c r="H906" s="371">
        <f t="shared" si="210"/>
        <v>0</v>
      </c>
      <c r="I906" s="371">
        <f t="shared" si="210"/>
        <v>0</v>
      </c>
      <c r="J906" s="371">
        <f t="shared" si="210"/>
        <v>0</v>
      </c>
      <c r="K906" s="371">
        <f t="shared" si="210"/>
        <v>980515.69882499985</v>
      </c>
      <c r="L906" s="371">
        <f t="shared" si="210"/>
        <v>0</v>
      </c>
      <c r="M906" s="371">
        <f t="shared" si="210"/>
        <v>745299</v>
      </c>
      <c r="N906" s="366">
        <f t="shared" si="210"/>
        <v>0</v>
      </c>
      <c r="O906" s="366">
        <f t="shared" si="210"/>
        <v>0</v>
      </c>
      <c r="P906" s="366">
        <f t="shared" si="210"/>
        <v>0</v>
      </c>
      <c r="Q906" s="366">
        <f t="shared" si="210"/>
        <v>0</v>
      </c>
      <c r="R906" s="366">
        <f t="shared" si="210"/>
        <v>0</v>
      </c>
      <c r="S906" s="371">
        <f t="shared" si="210"/>
        <v>745299</v>
      </c>
      <c r="T906" s="37"/>
      <c r="V906" s="6">
        <f t="shared" si="197"/>
        <v>0</v>
      </c>
    </row>
    <row r="907" spans="1:22" ht="25.5">
      <c r="A907" s="426">
        <v>1</v>
      </c>
      <c r="B907" s="427" t="s">
        <v>1728</v>
      </c>
      <c r="C907" s="428" t="s">
        <v>1729</v>
      </c>
      <c r="D907" s="426" t="s">
        <v>31</v>
      </c>
      <c r="E907" s="428" t="s">
        <v>500</v>
      </c>
      <c r="F907" s="393" t="s">
        <v>1730</v>
      </c>
      <c r="G907" s="446">
        <v>3071</v>
      </c>
      <c r="H907" s="382"/>
      <c r="I907" s="382"/>
      <c r="J907" s="382"/>
      <c r="K907" s="446">
        <v>3071</v>
      </c>
      <c r="L907" s="374"/>
      <c r="M907" s="512">
        <f t="shared" si="203"/>
        <v>2544</v>
      </c>
      <c r="N907" s="211"/>
      <c r="O907" s="211"/>
      <c r="P907" s="211"/>
      <c r="Q907" s="211"/>
      <c r="R907" s="211"/>
      <c r="S907" s="375">
        <v>2544</v>
      </c>
      <c r="T907" s="37"/>
      <c r="V907" s="6">
        <f t="shared" si="197"/>
        <v>0</v>
      </c>
    </row>
    <row r="908" spans="1:22" ht="25.5">
      <c r="A908" s="426">
        <f>A907+1</f>
        <v>2</v>
      </c>
      <c r="B908" s="427" t="s">
        <v>1731</v>
      </c>
      <c r="C908" s="428" t="s">
        <v>1710</v>
      </c>
      <c r="D908" s="426" t="s">
        <v>31</v>
      </c>
      <c r="E908" s="428" t="s">
        <v>500</v>
      </c>
      <c r="F908" s="393" t="s">
        <v>1732</v>
      </c>
      <c r="G908" s="446">
        <v>4920</v>
      </c>
      <c r="H908" s="382"/>
      <c r="I908" s="382"/>
      <c r="J908" s="382"/>
      <c r="K908" s="446">
        <v>4920</v>
      </c>
      <c r="L908" s="374"/>
      <c r="M908" s="512">
        <f t="shared" si="203"/>
        <v>4318</v>
      </c>
      <c r="N908" s="211"/>
      <c r="O908" s="211"/>
      <c r="P908" s="211"/>
      <c r="Q908" s="211"/>
      <c r="R908" s="211"/>
      <c r="S908" s="375">
        <v>4318</v>
      </c>
      <c r="T908" s="37"/>
      <c r="V908" s="6">
        <f t="shared" si="197"/>
        <v>0</v>
      </c>
    </row>
    <row r="909" spans="1:22" ht="25.5">
      <c r="A909" s="426">
        <f t="shared" ref="A909:A972" si="211">A908+1</f>
        <v>3</v>
      </c>
      <c r="B909" s="427" t="s">
        <v>1733</v>
      </c>
      <c r="C909" s="428" t="s">
        <v>1734</v>
      </c>
      <c r="D909" s="426" t="s">
        <v>31</v>
      </c>
      <c r="E909" s="428" t="s">
        <v>500</v>
      </c>
      <c r="F909" s="393" t="s">
        <v>1735</v>
      </c>
      <c r="G909" s="446">
        <v>2126.3993019999998</v>
      </c>
      <c r="H909" s="382"/>
      <c r="I909" s="382"/>
      <c r="J909" s="382"/>
      <c r="K909" s="446">
        <v>2126.3993019999998</v>
      </c>
      <c r="L909" s="374"/>
      <c r="M909" s="512">
        <f t="shared" si="203"/>
        <v>1987</v>
      </c>
      <c r="N909" s="211"/>
      <c r="O909" s="211"/>
      <c r="P909" s="211"/>
      <c r="Q909" s="211"/>
      <c r="R909" s="211"/>
      <c r="S909" s="375">
        <v>1987</v>
      </c>
      <c r="T909" s="37"/>
      <c r="V909" s="6">
        <f t="shared" si="197"/>
        <v>0</v>
      </c>
    </row>
    <row r="910" spans="1:22" ht="25.5">
      <c r="A910" s="426">
        <f t="shared" si="211"/>
        <v>4</v>
      </c>
      <c r="B910" s="427" t="s">
        <v>1736</v>
      </c>
      <c r="C910" s="428" t="s">
        <v>1737</v>
      </c>
      <c r="D910" s="426" t="s">
        <v>31</v>
      </c>
      <c r="E910" s="428" t="s">
        <v>500</v>
      </c>
      <c r="F910" s="393" t="s">
        <v>1738</v>
      </c>
      <c r="G910" s="446">
        <v>2113.1082289999999</v>
      </c>
      <c r="H910" s="382"/>
      <c r="I910" s="382"/>
      <c r="J910" s="382"/>
      <c r="K910" s="446">
        <v>2113.1082289999999</v>
      </c>
      <c r="L910" s="374"/>
      <c r="M910" s="512">
        <f t="shared" si="203"/>
        <v>1911</v>
      </c>
      <c r="N910" s="211"/>
      <c r="O910" s="211"/>
      <c r="P910" s="211"/>
      <c r="Q910" s="211"/>
      <c r="R910" s="211"/>
      <c r="S910" s="375">
        <v>1911</v>
      </c>
      <c r="T910" s="37"/>
      <c r="V910" s="6">
        <f t="shared" si="197"/>
        <v>0</v>
      </c>
    </row>
    <row r="911" spans="1:22" ht="51">
      <c r="A911" s="426">
        <f t="shared" si="211"/>
        <v>5</v>
      </c>
      <c r="B911" s="427" t="s">
        <v>1739</v>
      </c>
      <c r="C911" s="428" t="s">
        <v>1729</v>
      </c>
      <c r="D911" s="426" t="s">
        <v>31</v>
      </c>
      <c r="E911" s="428" t="s">
        <v>109</v>
      </c>
      <c r="F911" s="393" t="s">
        <v>1740</v>
      </c>
      <c r="G911" s="447">
        <v>7879</v>
      </c>
      <c r="H911" s="384"/>
      <c r="I911" s="384"/>
      <c r="J911" s="384"/>
      <c r="K911" s="447">
        <v>7879</v>
      </c>
      <c r="L911" s="374"/>
      <c r="M911" s="512">
        <f t="shared" si="203"/>
        <v>6825</v>
      </c>
      <c r="N911" s="211"/>
      <c r="O911" s="211"/>
      <c r="P911" s="211"/>
      <c r="Q911" s="211"/>
      <c r="R911" s="211"/>
      <c r="S911" s="375">
        <v>6825</v>
      </c>
      <c r="T911" s="37"/>
      <c r="V911" s="6">
        <f t="shared" si="197"/>
        <v>0</v>
      </c>
    </row>
    <row r="912" spans="1:22" ht="38.25">
      <c r="A912" s="426">
        <f t="shared" si="211"/>
        <v>6</v>
      </c>
      <c r="B912" s="427" t="s">
        <v>1741</v>
      </c>
      <c r="C912" s="428" t="s">
        <v>1737</v>
      </c>
      <c r="D912" s="426" t="s">
        <v>31</v>
      </c>
      <c r="E912" s="428" t="s">
        <v>109</v>
      </c>
      <c r="F912" s="393" t="s">
        <v>1742</v>
      </c>
      <c r="G912" s="447">
        <v>14997.514491</v>
      </c>
      <c r="H912" s="384"/>
      <c r="I912" s="384"/>
      <c r="J912" s="384"/>
      <c r="K912" s="447">
        <v>14997.514491</v>
      </c>
      <c r="L912" s="374"/>
      <c r="M912" s="512">
        <f t="shared" si="203"/>
        <v>13469</v>
      </c>
      <c r="N912" s="211"/>
      <c r="O912" s="211"/>
      <c r="P912" s="211"/>
      <c r="Q912" s="211"/>
      <c r="R912" s="211"/>
      <c r="S912" s="375">
        <v>13469</v>
      </c>
      <c r="T912" s="37"/>
      <c r="V912" s="6">
        <f t="shared" si="197"/>
        <v>0</v>
      </c>
    </row>
    <row r="913" spans="1:22" ht="38.25">
      <c r="A913" s="426">
        <f t="shared" si="211"/>
        <v>7</v>
      </c>
      <c r="B913" s="427" t="s">
        <v>1743</v>
      </c>
      <c r="C913" s="428" t="s">
        <v>1744</v>
      </c>
      <c r="D913" s="426" t="s">
        <v>31</v>
      </c>
      <c r="E913" s="428" t="s">
        <v>109</v>
      </c>
      <c r="F913" s="393" t="s">
        <v>1745</v>
      </c>
      <c r="G913" s="446">
        <v>8999.6439850000006</v>
      </c>
      <c r="H913" s="382"/>
      <c r="I913" s="382"/>
      <c r="J913" s="382"/>
      <c r="K913" s="446">
        <v>8999.6439850000006</v>
      </c>
      <c r="L913" s="374"/>
      <c r="M913" s="512">
        <f t="shared" si="203"/>
        <v>7848</v>
      </c>
      <c r="N913" s="211"/>
      <c r="O913" s="211"/>
      <c r="P913" s="211"/>
      <c r="Q913" s="211"/>
      <c r="R913" s="211"/>
      <c r="S913" s="375">
        <v>7848</v>
      </c>
      <c r="T913" s="37"/>
      <c r="V913" s="6">
        <f t="shared" si="197"/>
        <v>0</v>
      </c>
    </row>
    <row r="914" spans="1:22" ht="38.25">
      <c r="A914" s="426">
        <f t="shared" si="211"/>
        <v>8</v>
      </c>
      <c r="B914" s="427" t="s">
        <v>1746</v>
      </c>
      <c r="C914" s="428" t="s">
        <v>1698</v>
      </c>
      <c r="D914" s="426" t="s">
        <v>31</v>
      </c>
      <c r="E914" s="428" t="s">
        <v>109</v>
      </c>
      <c r="F914" s="393" t="s">
        <v>1747</v>
      </c>
      <c r="G914" s="447">
        <v>7491</v>
      </c>
      <c r="H914" s="384"/>
      <c r="I914" s="384"/>
      <c r="J914" s="384"/>
      <c r="K914" s="447">
        <v>7491</v>
      </c>
      <c r="L914" s="374"/>
      <c r="M914" s="512">
        <f t="shared" si="203"/>
        <v>7174</v>
      </c>
      <c r="N914" s="211"/>
      <c r="O914" s="211"/>
      <c r="P914" s="211"/>
      <c r="Q914" s="211"/>
      <c r="R914" s="211"/>
      <c r="S914" s="375">
        <v>7174</v>
      </c>
      <c r="T914" s="37"/>
      <c r="V914" s="6">
        <f t="shared" si="197"/>
        <v>0</v>
      </c>
    </row>
    <row r="915" spans="1:22" ht="30">
      <c r="A915" s="426">
        <f t="shared" si="211"/>
        <v>9</v>
      </c>
      <c r="B915" s="427" t="s">
        <v>1748</v>
      </c>
      <c r="C915" s="428" t="s">
        <v>1719</v>
      </c>
      <c r="D915" s="426" t="s">
        <v>31</v>
      </c>
      <c r="E915" s="428" t="s">
        <v>283</v>
      </c>
      <c r="F915" s="395" t="s">
        <v>1749</v>
      </c>
      <c r="G915" s="447">
        <v>11783.201863</v>
      </c>
      <c r="H915" s="396"/>
      <c r="I915" s="396"/>
      <c r="J915" s="396"/>
      <c r="K915" s="447">
        <v>11783.201863</v>
      </c>
      <c r="L915" s="374"/>
      <c r="M915" s="512">
        <f t="shared" si="203"/>
        <v>9300</v>
      </c>
      <c r="N915" s="211"/>
      <c r="O915" s="211"/>
      <c r="P915" s="211"/>
      <c r="Q915" s="211"/>
      <c r="R915" s="211"/>
      <c r="S915" s="375">
        <v>9300</v>
      </c>
      <c r="T915" s="37"/>
      <c r="V915" s="6">
        <f t="shared" si="197"/>
        <v>0</v>
      </c>
    </row>
    <row r="916" spans="1:22" ht="25.5">
      <c r="A916" s="426">
        <f t="shared" si="211"/>
        <v>10</v>
      </c>
      <c r="B916" s="427" t="s">
        <v>1750</v>
      </c>
      <c r="C916" s="428" t="s">
        <v>1710</v>
      </c>
      <c r="D916" s="426" t="s">
        <v>31</v>
      </c>
      <c r="E916" s="428" t="s">
        <v>283</v>
      </c>
      <c r="F916" s="393" t="s">
        <v>1751</v>
      </c>
      <c r="G916" s="446">
        <v>7772.7071390000001</v>
      </c>
      <c r="H916" s="382"/>
      <c r="I916" s="382"/>
      <c r="J916" s="382"/>
      <c r="K916" s="446">
        <v>7772.7071390000001</v>
      </c>
      <c r="L916" s="374"/>
      <c r="M916" s="512">
        <f t="shared" si="203"/>
        <v>6827</v>
      </c>
      <c r="N916" s="211"/>
      <c r="O916" s="211"/>
      <c r="P916" s="211"/>
      <c r="Q916" s="211"/>
      <c r="R916" s="211"/>
      <c r="S916" s="375">
        <v>6827</v>
      </c>
      <c r="T916" s="37"/>
      <c r="V916" s="6">
        <f t="shared" ref="V916:V979" si="212">G916-H916-I916-J916-K916</f>
        <v>0</v>
      </c>
    </row>
    <row r="917" spans="1:22" ht="25.5">
      <c r="A917" s="426">
        <f t="shared" si="211"/>
        <v>11</v>
      </c>
      <c r="B917" s="427" t="s">
        <v>1752</v>
      </c>
      <c r="C917" s="428" t="s">
        <v>1737</v>
      </c>
      <c r="D917" s="426" t="s">
        <v>31</v>
      </c>
      <c r="E917" s="428" t="s">
        <v>283</v>
      </c>
      <c r="F917" s="393" t="s">
        <v>1753</v>
      </c>
      <c r="G917" s="446">
        <v>12967.9956</v>
      </c>
      <c r="H917" s="382"/>
      <c r="I917" s="382"/>
      <c r="J917" s="382"/>
      <c r="K917" s="446">
        <v>12967.9956</v>
      </c>
      <c r="L917" s="374"/>
      <c r="M917" s="512">
        <f t="shared" si="203"/>
        <v>12319</v>
      </c>
      <c r="N917" s="211"/>
      <c r="O917" s="211"/>
      <c r="P917" s="211"/>
      <c r="Q917" s="211"/>
      <c r="R917" s="211"/>
      <c r="S917" s="375">
        <v>12319</v>
      </c>
      <c r="T917" s="37"/>
      <c r="V917" s="6">
        <f t="shared" si="212"/>
        <v>0</v>
      </c>
    </row>
    <row r="918" spans="1:22" ht="30">
      <c r="A918" s="426">
        <f t="shared" si="211"/>
        <v>12</v>
      </c>
      <c r="B918" s="427" t="s">
        <v>1754</v>
      </c>
      <c r="C918" s="428" t="s">
        <v>1729</v>
      </c>
      <c r="D918" s="426" t="s">
        <v>31</v>
      </c>
      <c r="E918" s="428" t="s">
        <v>47</v>
      </c>
      <c r="F918" s="397" t="s">
        <v>1755</v>
      </c>
      <c r="G918" s="446">
        <v>2999</v>
      </c>
      <c r="H918" s="398"/>
      <c r="I918" s="398"/>
      <c r="J918" s="398"/>
      <c r="K918" s="446">
        <v>2999</v>
      </c>
      <c r="L918" s="374"/>
      <c r="M918" s="512">
        <f t="shared" si="203"/>
        <v>2662</v>
      </c>
      <c r="N918" s="211"/>
      <c r="O918" s="211"/>
      <c r="P918" s="211"/>
      <c r="Q918" s="211"/>
      <c r="R918" s="211"/>
      <c r="S918" s="375">
        <v>2662</v>
      </c>
      <c r="T918" s="37"/>
      <c r="V918" s="6">
        <f t="shared" si="212"/>
        <v>0</v>
      </c>
    </row>
    <row r="919" spans="1:22">
      <c r="A919" s="426">
        <f t="shared" si="211"/>
        <v>13</v>
      </c>
      <c r="B919" s="427" t="s">
        <v>1756</v>
      </c>
      <c r="C919" s="428" t="s">
        <v>1757</v>
      </c>
      <c r="D919" s="426" t="s">
        <v>31</v>
      </c>
      <c r="E919" s="428" t="s">
        <v>283</v>
      </c>
      <c r="F919" s="393" t="s">
        <v>1758</v>
      </c>
      <c r="G919" s="446">
        <v>39686.510090000003</v>
      </c>
      <c r="H919" s="382"/>
      <c r="I919" s="382"/>
      <c r="J919" s="382"/>
      <c r="K919" s="446">
        <v>39686.510090000003</v>
      </c>
      <c r="L919" s="374"/>
      <c r="M919" s="512">
        <f t="shared" si="203"/>
        <v>37250</v>
      </c>
      <c r="N919" s="211"/>
      <c r="O919" s="211"/>
      <c r="P919" s="211"/>
      <c r="Q919" s="211"/>
      <c r="R919" s="211"/>
      <c r="S919" s="375">
        <v>37250</v>
      </c>
      <c r="T919" s="37"/>
      <c r="V919" s="6">
        <f t="shared" si="212"/>
        <v>0</v>
      </c>
    </row>
    <row r="920" spans="1:22" ht="30">
      <c r="A920" s="426">
        <f t="shared" si="211"/>
        <v>14</v>
      </c>
      <c r="B920" s="427" t="s">
        <v>1759</v>
      </c>
      <c r="C920" s="428" t="s">
        <v>1635</v>
      </c>
      <c r="D920" s="426" t="s">
        <v>31</v>
      </c>
      <c r="E920" s="445" t="s">
        <v>2780</v>
      </c>
      <c r="F920" s="393" t="s">
        <v>1760</v>
      </c>
      <c r="G920" s="446">
        <v>14862.608</v>
      </c>
      <c r="H920" s="382"/>
      <c r="I920" s="382"/>
      <c r="J920" s="382"/>
      <c r="K920" s="446">
        <v>14862.608</v>
      </c>
      <c r="L920" s="374"/>
      <c r="M920" s="512">
        <f t="shared" si="203"/>
        <v>10000</v>
      </c>
      <c r="N920" s="211"/>
      <c r="O920" s="211"/>
      <c r="P920" s="211"/>
      <c r="Q920" s="211"/>
      <c r="R920" s="211"/>
      <c r="S920" s="375">
        <v>10000</v>
      </c>
      <c r="T920" s="37"/>
      <c r="V920" s="6">
        <f t="shared" si="212"/>
        <v>0</v>
      </c>
    </row>
    <row r="921" spans="1:22">
      <c r="A921" s="426">
        <f t="shared" si="211"/>
        <v>15</v>
      </c>
      <c r="B921" s="427" t="s">
        <v>1761</v>
      </c>
      <c r="C921" s="428" t="s">
        <v>1762</v>
      </c>
      <c r="D921" s="426" t="s">
        <v>31</v>
      </c>
      <c r="E921" s="428" t="s">
        <v>283</v>
      </c>
      <c r="F921" s="393" t="s">
        <v>1763</v>
      </c>
      <c r="G921" s="446">
        <v>31926.423784999999</v>
      </c>
      <c r="H921" s="382"/>
      <c r="I921" s="382"/>
      <c r="J921" s="382"/>
      <c r="K921" s="446">
        <v>31926.423784999999</v>
      </c>
      <c r="L921" s="374"/>
      <c r="M921" s="512">
        <f t="shared" si="203"/>
        <v>30931</v>
      </c>
      <c r="N921" s="211"/>
      <c r="O921" s="211"/>
      <c r="P921" s="211"/>
      <c r="Q921" s="211"/>
      <c r="R921" s="211"/>
      <c r="S921" s="375">
        <v>30931</v>
      </c>
      <c r="T921" s="37"/>
      <c r="V921" s="6">
        <f t="shared" si="212"/>
        <v>0</v>
      </c>
    </row>
    <row r="922" spans="1:22" ht="30">
      <c r="A922" s="426">
        <f t="shared" si="211"/>
        <v>16</v>
      </c>
      <c r="B922" s="429" t="s">
        <v>1764</v>
      </c>
      <c r="C922" s="428" t="s">
        <v>97</v>
      </c>
      <c r="D922" s="426" t="s">
        <v>31</v>
      </c>
      <c r="E922" s="428" t="s">
        <v>166</v>
      </c>
      <c r="F922" s="399" t="s">
        <v>1765</v>
      </c>
      <c r="G922" s="446">
        <v>5022</v>
      </c>
      <c r="H922" s="398"/>
      <c r="I922" s="398"/>
      <c r="J922" s="398"/>
      <c r="K922" s="446">
        <v>5022</v>
      </c>
      <c r="L922" s="374"/>
      <c r="M922" s="512">
        <f t="shared" si="203"/>
        <v>4130</v>
      </c>
      <c r="N922" s="211"/>
      <c r="O922" s="211"/>
      <c r="P922" s="211"/>
      <c r="Q922" s="211"/>
      <c r="R922" s="211"/>
      <c r="S922" s="375">
        <v>4130</v>
      </c>
      <c r="T922" s="37"/>
      <c r="V922" s="6">
        <f t="shared" si="212"/>
        <v>0</v>
      </c>
    </row>
    <row r="923" spans="1:22" ht="51">
      <c r="A923" s="426">
        <f t="shared" si="211"/>
        <v>17</v>
      </c>
      <c r="B923" s="429" t="s">
        <v>1766</v>
      </c>
      <c r="C923" s="428" t="s">
        <v>1767</v>
      </c>
      <c r="D923" s="426" t="s">
        <v>31</v>
      </c>
      <c r="E923" s="428" t="s">
        <v>166</v>
      </c>
      <c r="F923" s="397" t="s">
        <v>1768</v>
      </c>
      <c r="G923" s="400">
        <v>14534</v>
      </c>
      <c r="H923" s="400"/>
      <c r="I923" s="400"/>
      <c r="J923" s="400"/>
      <c r="K923" s="400">
        <v>14534</v>
      </c>
      <c r="L923" s="374"/>
      <c r="M923" s="512">
        <f t="shared" si="203"/>
        <v>14489</v>
      </c>
      <c r="N923" s="211"/>
      <c r="O923" s="211"/>
      <c r="P923" s="211"/>
      <c r="Q923" s="211"/>
      <c r="R923" s="211"/>
      <c r="S923" s="375">
        <v>14489</v>
      </c>
      <c r="T923" s="37"/>
      <c r="V923" s="6">
        <f t="shared" si="212"/>
        <v>0</v>
      </c>
    </row>
    <row r="924" spans="1:22" ht="30">
      <c r="A924" s="426">
        <f t="shared" si="211"/>
        <v>18</v>
      </c>
      <c r="B924" s="429" t="s">
        <v>1769</v>
      </c>
      <c r="C924" s="428" t="s">
        <v>1767</v>
      </c>
      <c r="D924" s="426" t="s">
        <v>31</v>
      </c>
      <c r="E924" s="428" t="s">
        <v>166</v>
      </c>
      <c r="F924" s="393" t="s">
        <v>1770</v>
      </c>
      <c r="G924" s="446">
        <v>14266.779825</v>
      </c>
      <c r="H924" s="382"/>
      <c r="I924" s="382"/>
      <c r="J924" s="382"/>
      <c r="K924" s="446">
        <v>14266.779825</v>
      </c>
      <c r="L924" s="374"/>
      <c r="M924" s="512">
        <f t="shared" si="203"/>
        <v>12755</v>
      </c>
      <c r="N924" s="211"/>
      <c r="O924" s="211"/>
      <c r="P924" s="211"/>
      <c r="Q924" s="211"/>
      <c r="R924" s="211"/>
      <c r="S924" s="375">
        <v>12755</v>
      </c>
      <c r="T924" s="37"/>
      <c r="V924" s="6">
        <f t="shared" si="212"/>
        <v>0</v>
      </c>
    </row>
    <row r="925" spans="1:22" ht="38.25">
      <c r="A925" s="426">
        <f t="shared" si="211"/>
        <v>19</v>
      </c>
      <c r="B925" s="430" t="s">
        <v>1771</v>
      </c>
      <c r="C925" s="428" t="s">
        <v>1692</v>
      </c>
      <c r="D925" s="431" t="s">
        <v>31</v>
      </c>
      <c r="E925" s="431" t="s">
        <v>112</v>
      </c>
      <c r="F925" s="393" t="s">
        <v>1772</v>
      </c>
      <c r="G925" s="446">
        <v>37988</v>
      </c>
      <c r="H925" s="398"/>
      <c r="I925" s="398"/>
      <c r="J925" s="398"/>
      <c r="K925" s="400">
        <v>37988</v>
      </c>
      <c r="L925" s="374"/>
      <c r="M925" s="512">
        <f t="shared" si="203"/>
        <v>24219</v>
      </c>
      <c r="N925" s="211"/>
      <c r="O925" s="211"/>
      <c r="P925" s="211"/>
      <c r="Q925" s="211"/>
      <c r="R925" s="211"/>
      <c r="S925" s="375">
        <v>24219</v>
      </c>
      <c r="T925" s="37"/>
      <c r="V925" s="6">
        <f t="shared" si="212"/>
        <v>0</v>
      </c>
    </row>
    <row r="926" spans="1:22" ht="30">
      <c r="A926" s="426">
        <f t="shared" si="211"/>
        <v>20</v>
      </c>
      <c r="B926" s="430" t="s">
        <v>1773</v>
      </c>
      <c r="C926" s="428" t="s">
        <v>1757</v>
      </c>
      <c r="D926" s="432" t="s">
        <v>31</v>
      </c>
      <c r="E926" s="433" t="s">
        <v>1268</v>
      </c>
      <c r="F926" s="401" t="s">
        <v>1774</v>
      </c>
      <c r="G926" s="447">
        <v>24205</v>
      </c>
      <c r="H926" s="396"/>
      <c r="I926" s="396"/>
      <c r="J926" s="396"/>
      <c r="K926" s="447">
        <v>24205</v>
      </c>
      <c r="L926" s="374"/>
      <c r="M926" s="512">
        <f t="shared" si="203"/>
        <v>10000</v>
      </c>
      <c r="N926" s="211"/>
      <c r="O926" s="211"/>
      <c r="P926" s="211"/>
      <c r="Q926" s="211"/>
      <c r="R926" s="211"/>
      <c r="S926" s="375">
        <v>10000</v>
      </c>
      <c r="T926" s="37"/>
      <c r="V926" s="6">
        <f t="shared" si="212"/>
        <v>0</v>
      </c>
    </row>
    <row r="927" spans="1:22" ht="38.25">
      <c r="A927" s="426">
        <f t="shared" si="211"/>
        <v>21</v>
      </c>
      <c r="B927" s="434" t="s">
        <v>1775</v>
      </c>
      <c r="C927" s="428" t="s">
        <v>1776</v>
      </c>
      <c r="D927" s="432" t="s">
        <v>31</v>
      </c>
      <c r="E927" s="433" t="s">
        <v>1268</v>
      </c>
      <c r="F927" s="53" t="s">
        <v>1777</v>
      </c>
      <c r="G927" s="375">
        <v>14327.408164</v>
      </c>
      <c r="H927" s="374"/>
      <c r="I927" s="374"/>
      <c r="J927" s="374"/>
      <c r="K927" s="375">
        <v>14327.408164</v>
      </c>
      <c r="L927" s="374"/>
      <c r="M927" s="512">
        <f t="shared" si="203"/>
        <v>10000</v>
      </c>
      <c r="N927" s="211"/>
      <c r="O927" s="211"/>
      <c r="P927" s="211"/>
      <c r="Q927" s="211"/>
      <c r="R927" s="211"/>
      <c r="S927" s="375">
        <v>10000</v>
      </c>
      <c r="T927" s="37"/>
      <c r="V927" s="6">
        <f t="shared" si="212"/>
        <v>0</v>
      </c>
    </row>
    <row r="928" spans="1:22" ht="30">
      <c r="A928" s="426">
        <f t="shared" si="211"/>
        <v>22</v>
      </c>
      <c r="B928" s="435" t="s">
        <v>1778</v>
      </c>
      <c r="C928" s="428" t="s">
        <v>1657</v>
      </c>
      <c r="D928" s="436" t="s">
        <v>31</v>
      </c>
      <c r="E928" s="436" t="s">
        <v>1779</v>
      </c>
      <c r="F928" s="402" t="s">
        <v>1780</v>
      </c>
      <c r="G928" s="448">
        <v>7991</v>
      </c>
      <c r="H928" s="383"/>
      <c r="I928" s="383"/>
      <c r="J928" s="383"/>
      <c r="K928" s="375">
        <v>7991</v>
      </c>
      <c r="L928" s="374"/>
      <c r="M928" s="512">
        <f t="shared" si="203"/>
        <v>7000</v>
      </c>
      <c r="N928" s="211"/>
      <c r="O928" s="211"/>
      <c r="P928" s="211"/>
      <c r="Q928" s="211"/>
      <c r="R928" s="211"/>
      <c r="S928" s="375">
        <v>7000</v>
      </c>
      <c r="T928" s="37"/>
      <c r="V928" s="6">
        <f t="shared" si="212"/>
        <v>0</v>
      </c>
    </row>
    <row r="929" spans="1:22" ht="30">
      <c r="A929" s="426">
        <f t="shared" si="211"/>
        <v>23</v>
      </c>
      <c r="B929" s="435" t="s">
        <v>1781</v>
      </c>
      <c r="C929" s="428" t="s">
        <v>1654</v>
      </c>
      <c r="D929" s="436" t="s">
        <v>31</v>
      </c>
      <c r="E929" s="436" t="s">
        <v>1779</v>
      </c>
      <c r="F929" s="53" t="s">
        <v>1782</v>
      </c>
      <c r="G929" s="448">
        <v>5131</v>
      </c>
      <c r="H929" s="374"/>
      <c r="I929" s="374"/>
      <c r="J929" s="374"/>
      <c r="K929" s="375">
        <v>5131</v>
      </c>
      <c r="L929" s="374"/>
      <c r="M929" s="512">
        <f t="shared" si="203"/>
        <v>5000</v>
      </c>
      <c r="N929" s="211"/>
      <c r="O929" s="211"/>
      <c r="P929" s="211"/>
      <c r="Q929" s="211"/>
      <c r="R929" s="211"/>
      <c r="S929" s="375">
        <v>5000</v>
      </c>
      <c r="T929" s="37"/>
      <c r="V929" s="6">
        <f t="shared" si="212"/>
        <v>0</v>
      </c>
    </row>
    <row r="930" spans="1:22" ht="51">
      <c r="A930" s="426">
        <f t="shared" si="211"/>
        <v>24</v>
      </c>
      <c r="B930" s="435" t="s">
        <v>1783</v>
      </c>
      <c r="C930" s="428" t="s">
        <v>1660</v>
      </c>
      <c r="D930" s="436" t="s">
        <v>31</v>
      </c>
      <c r="E930" s="436" t="s">
        <v>1784</v>
      </c>
      <c r="F930" s="369" t="s">
        <v>1785</v>
      </c>
      <c r="G930" s="448">
        <v>43433</v>
      </c>
      <c r="H930" s="383"/>
      <c r="I930" s="383"/>
      <c r="J930" s="383"/>
      <c r="K930" s="375">
        <v>43433</v>
      </c>
      <c r="L930" s="374"/>
      <c r="M930" s="512">
        <f t="shared" si="203"/>
        <v>16000</v>
      </c>
      <c r="N930" s="211"/>
      <c r="O930" s="211"/>
      <c r="P930" s="211"/>
      <c r="Q930" s="211"/>
      <c r="R930" s="211"/>
      <c r="S930" s="375">
        <v>16000</v>
      </c>
      <c r="T930" s="37"/>
      <c r="V930" s="6">
        <f t="shared" si="212"/>
        <v>0</v>
      </c>
    </row>
    <row r="931" spans="1:22" ht="38.25">
      <c r="A931" s="426">
        <f t="shared" si="211"/>
        <v>25</v>
      </c>
      <c r="B931" s="437" t="s">
        <v>1786</v>
      </c>
      <c r="C931" s="428" t="s">
        <v>1744</v>
      </c>
      <c r="D931" s="436" t="s">
        <v>31</v>
      </c>
      <c r="E931" s="436" t="s">
        <v>1314</v>
      </c>
      <c r="F931" s="369" t="s">
        <v>1787</v>
      </c>
      <c r="G931" s="448">
        <v>4230</v>
      </c>
      <c r="H931" s="383"/>
      <c r="I931" s="383"/>
      <c r="J931" s="383"/>
      <c r="K931" s="375">
        <v>4230</v>
      </c>
      <c r="L931" s="374"/>
      <c r="M931" s="512">
        <f t="shared" si="203"/>
        <v>3500</v>
      </c>
      <c r="N931" s="211"/>
      <c r="O931" s="211"/>
      <c r="P931" s="211"/>
      <c r="Q931" s="211"/>
      <c r="R931" s="211"/>
      <c r="S931" s="375">
        <v>3500</v>
      </c>
      <c r="T931" s="37"/>
      <c r="V931" s="6">
        <f t="shared" si="212"/>
        <v>0</v>
      </c>
    </row>
    <row r="932" spans="1:22" ht="38.25">
      <c r="A932" s="426">
        <f t="shared" si="211"/>
        <v>26</v>
      </c>
      <c r="B932" s="437" t="s">
        <v>1788</v>
      </c>
      <c r="C932" s="428" t="s">
        <v>1776</v>
      </c>
      <c r="D932" s="436" t="s">
        <v>31</v>
      </c>
      <c r="E932" s="436" t="s">
        <v>1314</v>
      </c>
      <c r="F932" s="369" t="s">
        <v>1789</v>
      </c>
      <c r="G932" s="449">
        <v>24334.561764999999</v>
      </c>
      <c r="H932" s="403"/>
      <c r="I932" s="403"/>
      <c r="J932" s="403"/>
      <c r="K932" s="375">
        <v>24334.561764999999</v>
      </c>
      <c r="L932" s="374"/>
      <c r="M932" s="512">
        <f t="shared" si="203"/>
        <v>12000</v>
      </c>
      <c r="N932" s="211"/>
      <c r="O932" s="211"/>
      <c r="P932" s="211"/>
      <c r="Q932" s="211"/>
      <c r="R932" s="211"/>
      <c r="S932" s="375">
        <v>12000</v>
      </c>
      <c r="T932" s="37"/>
      <c r="V932" s="6">
        <f t="shared" si="212"/>
        <v>0</v>
      </c>
    </row>
    <row r="933" spans="1:22" ht="38.25">
      <c r="A933" s="426">
        <f t="shared" si="211"/>
        <v>27</v>
      </c>
      <c r="B933" s="427" t="s">
        <v>1790</v>
      </c>
      <c r="C933" s="428" t="s">
        <v>97</v>
      </c>
      <c r="D933" s="426" t="s">
        <v>31</v>
      </c>
      <c r="E933" s="428" t="s">
        <v>500</v>
      </c>
      <c r="F933" s="369" t="s">
        <v>1791</v>
      </c>
      <c r="G933" s="375">
        <v>1857.77613</v>
      </c>
      <c r="H933" s="374"/>
      <c r="I933" s="374"/>
      <c r="J933" s="374"/>
      <c r="K933" s="375">
        <v>1857.77613</v>
      </c>
      <c r="L933" s="374"/>
      <c r="M933" s="512">
        <f t="shared" si="203"/>
        <v>1555</v>
      </c>
      <c r="N933" s="211"/>
      <c r="O933" s="211"/>
      <c r="P933" s="211"/>
      <c r="Q933" s="211"/>
      <c r="R933" s="211"/>
      <c r="S933" s="375">
        <v>1555</v>
      </c>
      <c r="T933" s="37"/>
      <c r="V933" s="6">
        <f t="shared" si="212"/>
        <v>0</v>
      </c>
    </row>
    <row r="934" spans="1:22" ht="25.5">
      <c r="A934" s="426">
        <f t="shared" si="211"/>
        <v>28</v>
      </c>
      <c r="B934" s="427" t="s">
        <v>1792</v>
      </c>
      <c r="C934" s="428" t="s">
        <v>1767</v>
      </c>
      <c r="D934" s="426" t="s">
        <v>31</v>
      </c>
      <c r="E934" s="428" t="s">
        <v>500</v>
      </c>
      <c r="F934" s="369" t="s">
        <v>1793</v>
      </c>
      <c r="G934" s="375">
        <v>4552.8050519999997</v>
      </c>
      <c r="H934" s="374"/>
      <c r="I934" s="374"/>
      <c r="J934" s="374"/>
      <c r="K934" s="375">
        <v>4552.8050519999997</v>
      </c>
      <c r="L934" s="374"/>
      <c r="M934" s="512">
        <f t="shared" si="203"/>
        <v>3881</v>
      </c>
      <c r="N934" s="211"/>
      <c r="O934" s="211"/>
      <c r="P934" s="211"/>
      <c r="Q934" s="211"/>
      <c r="R934" s="211"/>
      <c r="S934" s="375">
        <v>3881</v>
      </c>
      <c r="T934" s="37"/>
      <c r="V934" s="6">
        <f t="shared" si="212"/>
        <v>0</v>
      </c>
    </row>
    <row r="935" spans="1:22" ht="38.25">
      <c r="A935" s="426">
        <f t="shared" si="211"/>
        <v>29</v>
      </c>
      <c r="B935" s="427" t="s">
        <v>1794</v>
      </c>
      <c r="C935" s="428" t="s">
        <v>1795</v>
      </c>
      <c r="D935" s="426" t="s">
        <v>31</v>
      </c>
      <c r="E935" s="428" t="s">
        <v>500</v>
      </c>
      <c r="F935" s="369" t="s">
        <v>1796</v>
      </c>
      <c r="G935" s="375">
        <v>2875.462532</v>
      </c>
      <c r="H935" s="374"/>
      <c r="I935" s="374"/>
      <c r="J935" s="374"/>
      <c r="K935" s="375">
        <v>2875.462532</v>
      </c>
      <c r="L935" s="374"/>
      <c r="M935" s="512">
        <f t="shared" si="203"/>
        <v>2244</v>
      </c>
      <c r="N935" s="211"/>
      <c r="O935" s="211"/>
      <c r="P935" s="211"/>
      <c r="Q935" s="211"/>
      <c r="R935" s="211"/>
      <c r="S935" s="375">
        <v>2244</v>
      </c>
      <c r="T935" s="37"/>
      <c r="V935" s="6">
        <f t="shared" si="212"/>
        <v>0</v>
      </c>
    </row>
    <row r="936" spans="1:22">
      <c r="A936" s="426">
        <f t="shared" si="211"/>
        <v>30</v>
      </c>
      <c r="B936" s="427" t="s">
        <v>1797</v>
      </c>
      <c r="C936" s="428" t="s">
        <v>1798</v>
      </c>
      <c r="D936" s="426" t="s">
        <v>31</v>
      </c>
      <c r="E936" s="428" t="s">
        <v>500</v>
      </c>
      <c r="F936" s="369" t="s">
        <v>1799</v>
      </c>
      <c r="G936" s="375">
        <v>1602.0975599999999</v>
      </c>
      <c r="H936" s="374"/>
      <c r="I936" s="374"/>
      <c r="J936" s="374"/>
      <c r="K936" s="375">
        <v>1602.0975599999999</v>
      </c>
      <c r="L936" s="374"/>
      <c r="M936" s="512">
        <f t="shared" si="203"/>
        <v>1489</v>
      </c>
      <c r="N936" s="211"/>
      <c r="O936" s="211"/>
      <c r="P936" s="211"/>
      <c r="Q936" s="211"/>
      <c r="R936" s="211"/>
      <c r="S936" s="375">
        <v>1489</v>
      </c>
      <c r="T936" s="37"/>
      <c r="V936" s="6">
        <f t="shared" si="212"/>
        <v>0</v>
      </c>
    </row>
    <row r="937" spans="1:22" ht="38.25">
      <c r="A937" s="426">
        <f t="shared" si="211"/>
        <v>31</v>
      </c>
      <c r="B937" s="427" t="s">
        <v>1800</v>
      </c>
      <c r="C937" s="428" t="s">
        <v>1710</v>
      </c>
      <c r="D937" s="426" t="s">
        <v>26</v>
      </c>
      <c r="E937" s="428" t="s">
        <v>149</v>
      </c>
      <c r="F937" s="369" t="s">
        <v>1801</v>
      </c>
      <c r="G937" s="375">
        <v>91261</v>
      </c>
      <c r="H937" s="374"/>
      <c r="I937" s="374"/>
      <c r="J937" s="374"/>
      <c r="K937" s="375">
        <v>91261</v>
      </c>
      <c r="L937" s="374"/>
      <c r="M937" s="512">
        <f t="shared" si="203"/>
        <v>90713</v>
      </c>
      <c r="N937" s="211"/>
      <c r="O937" s="211"/>
      <c r="P937" s="211"/>
      <c r="Q937" s="211"/>
      <c r="R937" s="211"/>
      <c r="S937" s="375">
        <v>90713</v>
      </c>
      <c r="T937" s="37"/>
      <c r="V937" s="6">
        <f t="shared" si="212"/>
        <v>0</v>
      </c>
    </row>
    <row r="938" spans="1:22">
      <c r="A938" s="426">
        <f t="shared" si="211"/>
        <v>32</v>
      </c>
      <c r="B938" s="427" t="s">
        <v>1802</v>
      </c>
      <c r="C938" s="428" t="s">
        <v>1692</v>
      </c>
      <c r="D938" s="426" t="s">
        <v>31</v>
      </c>
      <c r="E938" s="428" t="s">
        <v>109</v>
      </c>
      <c r="F938" s="369" t="s">
        <v>1803</v>
      </c>
      <c r="G938" s="448">
        <v>28189.549806999999</v>
      </c>
      <c r="H938" s="383"/>
      <c r="I938" s="383"/>
      <c r="J938" s="383"/>
      <c r="K938" s="375">
        <v>28189.549806999999</v>
      </c>
      <c r="L938" s="374"/>
      <c r="M938" s="512">
        <f t="shared" si="203"/>
        <v>26177</v>
      </c>
      <c r="N938" s="211"/>
      <c r="O938" s="211"/>
      <c r="P938" s="211"/>
      <c r="Q938" s="211"/>
      <c r="R938" s="211"/>
      <c r="S938" s="375">
        <v>26177</v>
      </c>
      <c r="T938" s="37"/>
      <c r="V938" s="6">
        <f t="shared" si="212"/>
        <v>0</v>
      </c>
    </row>
    <row r="939" spans="1:22" ht="30">
      <c r="A939" s="426">
        <f t="shared" si="211"/>
        <v>33</v>
      </c>
      <c r="B939" s="427" t="s">
        <v>1804</v>
      </c>
      <c r="C939" s="428" t="s">
        <v>1805</v>
      </c>
      <c r="D939" s="426" t="s">
        <v>31</v>
      </c>
      <c r="E939" s="428" t="s">
        <v>47</v>
      </c>
      <c r="F939" s="369" t="s">
        <v>1806</v>
      </c>
      <c r="G939" s="375">
        <v>3554.9104910000001</v>
      </c>
      <c r="H939" s="374"/>
      <c r="I939" s="374"/>
      <c r="J939" s="374"/>
      <c r="K939" s="375">
        <v>3554.9104910000001</v>
      </c>
      <c r="L939" s="374"/>
      <c r="M939" s="512">
        <f t="shared" si="203"/>
        <v>2991</v>
      </c>
      <c r="N939" s="211"/>
      <c r="O939" s="211"/>
      <c r="P939" s="211"/>
      <c r="Q939" s="211"/>
      <c r="R939" s="211"/>
      <c r="S939" s="375">
        <v>2991</v>
      </c>
      <c r="T939" s="37"/>
      <c r="V939" s="6">
        <f t="shared" si="212"/>
        <v>0</v>
      </c>
    </row>
    <row r="940" spans="1:22" ht="30">
      <c r="A940" s="426">
        <f t="shared" si="211"/>
        <v>34</v>
      </c>
      <c r="B940" s="427" t="s">
        <v>1807</v>
      </c>
      <c r="C940" s="428" t="s">
        <v>1767</v>
      </c>
      <c r="D940" s="426" t="s">
        <v>31</v>
      </c>
      <c r="E940" s="428" t="s">
        <v>47</v>
      </c>
      <c r="F940" s="369" t="s">
        <v>1808</v>
      </c>
      <c r="G940" s="375">
        <v>1915.153847</v>
      </c>
      <c r="H940" s="374"/>
      <c r="I940" s="374"/>
      <c r="J940" s="374"/>
      <c r="K940" s="375">
        <v>1915.153847</v>
      </c>
      <c r="L940" s="374"/>
      <c r="M940" s="512">
        <f t="shared" si="203"/>
        <v>1833</v>
      </c>
      <c r="N940" s="211"/>
      <c r="O940" s="211"/>
      <c r="P940" s="211"/>
      <c r="Q940" s="211"/>
      <c r="R940" s="211"/>
      <c r="S940" s="375">
        <v>1833</v>
      </c>
      <c r="T940" s="37"/>
      <c r="V940" s="6">
        <f t="shared" si="212"/>
        <v>0</v>
      </c>
    </row>
    <row r="941" spans="1:22" ht="30">
      <c r="A941" s="426">
        <f t="shared" si="211"/>
        <v>35</v>
      </c>
      <c r="B941" s="427" t="s">
        <v>1809</v>
      </c>
      <c r="C941" s="428" t="s">
        <v>1795</v>
      </c>
      <c r="D941" s="426" t="s">
        <v>31</v>
      </c>
      <c r="E941" s="428" t="s">
        <v>47</v>
      </c>
      <c r="F941" s="369" t="s">
        <v>1810</v>
      </c>
      <c r="G941" s="375">
        <v>4538.1636989999997</v>
      </c>
      <c r="H941" s="374"/>
      <c r="I941" s="374"/>
      <c r="J941" s="374"/>
      <c r="K941" s="375">
        <v>4538.1636989999997</v>
      </c>
      <c r="L941" s="374"/>
      <c r="M941" s="512">
        <f t="shared" si="203"/>
        <v>3493</v>
      </c>
      <c r="N941" s="211"/>
      <c r="O941" s="211"/>
      <c r="P941" s="211"/>
      <c r="Q941" s="211"/>
      <c r="R941" s="211"/>
      <c r="S941" s="375">
        <v>3493</v>
      </c>
      <c r="T941" s="37"/>
      <c r="V941" s="6">
        <f t="shared" si="212"/>
        <v>0</v>
      </c>
    </row>
    <row r="942" spans="1:22" ht="38.25">
      <c r="A942" s="426">
        <f t="shared" si="211"/>
        <v>36</v>
      </c>
      <c r="B942" s="427" t="s">
        <v>1811</v>
      </c>
      <c r="C942" s="428" t="s">
        <v>1812</v>
      </c>
      <c r="D942" s="426" t="s">
        <v>31</v>
      </c>
      <c r="E942" s="428" t="s">
        <v>47</v>
      </c>
      <c r="F942" s="369" t="s">
        <v>1813</v>
      </c>
      <c r="G942" s="375">
        <v>2909.4276460000001</v>
      </c>
      <c r="H942" s="374"/>
      <c r="I942" s="374"/>
      <c r="J942" s="374"/>
      <c r="K942" s="375">
        <v>2909.4276460000001</v>
      </c>
      <c r="L942" s="374"/>
      <c r="M942" s="512">
        <f t="shared" si="203"/>
        <v>2398</v>
      </c>
      <c r="N942" s="211"/>
      <c r="O942" s="211"/>
      <c r="P942" s="211"/>
      <c r="Q942" s="211"/>
      <c r="R942" s="211"/>
      <c r="S942" s="375">
        <v>2398</v>
      </c>
      <c r="T942" s="37"/>
      <c r="V942" s="6">
        <f t="shared" si="212"/>
        <v>0</v>
      </c>
    </row>
    <row r="943" spans="1:22" ht="30">
      <c r="A943" s="426">
        <f t="shared" si="211"/>
        <v>37</v>
      </c>
      <c r="B943" s="427" t="s">
        <v>1814</v>
      </c>
      <c r="C943" s="428" t="s">
        <v>1660</v>
      </c>
      <c r="D943" s="426" t="s">
        <v>31</v>
      </c>
      <c r="E943" s="428" t="s">
        <v>283</v>
      </c>
      <c r="F943" s="369" t="s">
        <v>1815</v>
      </c>
      <c r="G943" s="375">
        <v>19968.334330000002</v>
      </c>
      <c r="H943" s="374"/>
      <c r="I943" s="374"/>
      <c r="J943" s="374"/>
      <c r="K943" s="375">
        <v>19968.334330000002</v>
      </c>
      <c r="L943" s="374"/>
      <c r="M943" s="512">
        <f t="shared" si="203"/>
        <v>12750</v>
      </c>
      <c r="N943" s="211"/>
      <c r="O943" s="211"/>
      <c r="P943" s="211"/>
      <c r="Q943" s="211"/>
      <c r="R943" s="211"/>
      <c r="S943" s="375">
        <v>12750</v>
      </c>
      <c r="T943" s="37"/>
      <c r="V943" s="6">
        <f t="shared" si="212"/>
        <v>0</v>
      </c>
    </row>
    <row r="944" spans="1:22" ht="30">
      <c r="A944" s="426">
        <f t="shared" si="211"/>
        <v>38</v>
      </c>
      <c r="B944" s="427" t="s">
        <v>1816</v>
      </c>
      <c r="C944" s="428" t="s">
        <v>1657</v>
      </c>
      <c r="D944" s="426" t="s">
        <v>31</v>
      </c>
      <c r="E944" s="428" t="s">
        <v>283</v>
      </c>
      <c r="F944" s="369" t="s">
        <v>1817</v>
      </c>
      <c r="G944" s="375">
        <v>29083.01138</v>
      </c>
      <c r="H944" s="374"/>
      <c r="I944" s="374"/>
      <c r="J944" s="374"/>
      <c r="K944" s="375">
        <v>29083.01138</v>
      </c>
      <c r="L944" s="374"/>
      <c r="M944" s="512">
        <f t="shared" ref="M944:M1007" si="213">SUM(N944:S944)</f>
        <v>28776</v>
      </c>
      <c r="N944" s="211"/>
      <c r="O944" s="211"/>
      <c r="P944" s="211"/>
      <c r="Q944" s="211"/>
      <c r="R944" s="211"/>
      <c r="S944" s="375">
        <f>28776</f>
        <v>28776</v>
      </c>
      <c r="T944" s="37"/>
      <c r="V944" s="6">
        <f t="shared" si="212"/>
        <v>0</v>
      </c>
    </row>
    <row r="945" spans="1:22" ht="30">
      <c r="A945" s="426">
        <f t="shared" si="211"/>
        <v>39</v>
      </c>
      <c r="B945" s="427" t="s">
        <v>1818</v>
      </c>
      <c r="C945" s="428" t="s">
        <v>1692</v>
      </c>
      <c r="D945" s="426" t="s">
        <v>31</v>
      </c>
      <c r="E945" s="428" t="s">
        <v>283</v>
      </c>
      <c r="F945" s="369" t="s">
        <v>1819</v>
      </c>
      <c r="G945" s="375">
        <v>12683</v>
      </c>
      <c r="H945" s="374"/>
      <c r="I945" s="374"/>
      <c r="J945" s="374"/>
      <c r="K945" s="375">
        <v>12683</v>
      </c>
      <c r="L945" s="374"/>
      <c r="M945" s="512">
        <f t="shared" si="213"/>
        <v>11442</v>
      </c>
      <c r="N945" s="211"/>
      <c r="O945" s="211"/>
      <c r="P945" s="211"/>
      <c r="Q945" s="211"/>
      <c r="R945" s="211"/>
      <c r="S945" s="375">
        <v>11442</v>
      </c>
      <c r="T945" s="37"/>
      <c r="V945" s="6">
        <f t="shared" si="212"/>
        <v>0</v>
      </c>
    </row>
    <row r="946" spans="1:22" ht="30">
      <c r="A946" s="426">
        <f t="shared" si="211"/>
        <v>40</v>
      </c>
      <c r="B946" s="429" t="s">
        <v>1820</v>
      </c>
      <c r="C946" s="428" t="s">
        <v>97</v>
      </c>
      <c r="D946" s="426" t="s">
        <v>31</v>
      </c>
      <c r="E946" s="428" t="s">
        <v>166</v>
      </c>
      <c r="F946" s="404" t="s">
        <v>1821</v>
      </c>
      <c r="G946" s="450">
        <v>27340</v>
      </c>
      <c r="H946" s="405"/>
      <c r="I946" s="405"/>
      <c r="J946" s="405"/>
      <c r="K946" s="375">
        <v>27340</v>
      </c>
      <c r="L946" s="374"/>
      <c r="M946" s="512">
        <f t="shared" si="213"/>
        <v>15890</v>
      </c>
      <c r="N946" s="211"/>
      <c r="O946" s="211"/>
      <c r="P946" s="211"/>
      <c r="Q946" s="211"/>
      <c r="R946" s="211"/>
      <c r="S946" s="375">
        <v>15890</v>
      </c>
      <c r="T946" s="37"/>
      <c r="V946" s="6">
        <f t="shared" si="212"/>
        <v>0</v>
      </c>
    </row>
    <row r="947" spans="1:22" ht="30">
      <c r="A947" s="426">
        <f t="shared" si="211"/>
        <v>41</v>
      </c>
      <c r="B947" s="429" t="s">
        <v>1822</v>
      </c>
      <c r="C947" s="428" t="s">
        <v>1767</v>
      </c>
      <c r="D947" s="426" t="s">
        <v>31</v>
      </c>
      <c r="E947" s="428" t="s">
        <v>166</v>
      </c>
      <c r="F947" s="369" t="s">
        <v>1823</v>
      </c>
      <c r="G947" s="375">
        <v>1938</v>
      </c>
      <c r="H947" s="374"/>
      <c r="I947" s="374"/>
      <c r="J947" s="374"/>
      <c r="K947" s="375">
        <v>1938</v>
      </c>
      <c r="L947" s="374"/>
      <c r="M947" s="512">
        <f t="shared" si="213"/>
        <v>1695</v>
      </c>
      <c r="N947" s="211"/>
      <c r="O947" s="211"/>
      <c r="P947" s="211"/>
      <c r="Q947" s="211"/>
      <c r="R947" s="211"/>
      <c r="S947" s="375">
        <v>1695</v>
      </c>
      <c r="T947" s="37"/>
      <c r="V947" s="6">
        <f t="shared" si="212"/>
        <v>0</v>
      </c>
    </row>
    <row r="948" spans="1:22" ht="30">
      <c r="A948" s="426">
        <f t="shared" si="211"/>
        <v>42</v>
      </c>
      <c r="B948" s="429" t="s">
        <v>1824</v>
      </c>
      <c r="C948" s="428" t="s">
        <v>1805</v>
      </c>
      <c r="D948" s="426" t="s">
        <v>31</v>
      </c>
      <c r="E948" s="428" t="s">
        <v>166</v>
      </c>
      <c r="F948" s="369" t="s">
        <v>1825</v>
      </c>
      <c r="G948" s="375">
        <v>2170.6008569999999</v>
      </c>
      <c r="H948" s="374"/>
      <c r="I948" s="374"/>
      <c r="J948" s="374"/>
      <c r="K948" s="375">
        <v>2170.6008569999999</v>
      </c>
      <c r="L948" s="374"/>
      <c r="M948" s="512">
        <f t="shared" si="213"/>
        <v>1930</v>
      </c>
      <c r="N948" s="211"/>
      <c r="O948" s="211"/>
      <c r="P948" s="211"/>
      <c r="Q948" s="211"/>
      <c r="R948" s="211"/>
      <c r="S948" s="375">
        <v>1930</v>
      </c>
      <c r="T948" s="37"/>
      <c r="V948" s="6">
        <f t="shared" si="212"/>
        <v>0</v>
      </c>
    </row>
    <row r="949" spans="1:22" ht="30">
      <c r="A949" s="426">
        <f t="shared" si="211"/>
        <v>43</v>
      </c>
      <c r="B949" s="429" t="s">
        <v>1826</v>
      </c>
      <c r="C949" s="428" t="s">
        <v>1795</v>
      </c>
      <c r="D949" s="426" t="s">
        <v>31</v>
      </c>
      <c r="E949" s="428" t="s">
        <v>166</v>
      </c>
      <c r="F949" s="406" t="s">
        <v>1827</v>
      </c>
      <c r="G949" s="448">
        <v>1731</v>
      </c>
      <c r="H949" s="392"/>
      <c r="I949" s="392"/>
      <c r="J949" s="392"/>
      <c r="K949" s="375">
        <v>1731</v>
      </c>
      <c r="L949" s="374"/>
      <c r="M949" s="512">
        <f t="shared" si="213"/>
        <v>1400</v>
      </c>
      <c r="N949" s="211"/>
      <c r="O949" s="211"/>
      <c r="P949" s="211"/>
      <c r="Q949" s="211"/>
      <c r="R949" s="211"/>
      <c r="S949" s="375">
        <v>1400</v>
      </c>
      <c r="T949" s="37"/>
      <c r="V949" s="6">
        <f t="shared" si="212"/>
        <v>0</v>
      </c>
    </row>
    <row r="950" spans="1:22" ht="30">
      <c r="A950" s="426">
        <f t="shared" si="211"/>
        <v>44</v>
      </c>
      <c r="B950" s="429" t="s">
        <v>1828</v>
      </c>
      <c r="C950" s="428" t="s">
        <v>1812</v>
      </c>
      <c r="D950" s="426" t="s">
        <v>31</v>
      </c>
      <c r="E950" s="428" t="s">
        <v>166</v>
      </c>
      <c r="F950" s="406" t="s">
        <v>1829</v>
      </c>
      <c r="G950" s="448">
        <v>4654</v>
      </c>
      <c r="H950" s="392"/>
      <c r="I950" s="392"/>
      <c r="J950" s="392"/>
      <c r="K950" s="375">
        <v>4654</v>
      </c>
      <c r="L950" s="374"/>
      <c r="M950" s="512">
        <f t="shared" si="213"/>
        <v>3528</v>
      </c>
      <c r="N950" s="211"/>
      <c r="O950" s="211"/>
      <c r="P950" s="211"/>
      <c r="Q950" s="211"/>
      <c r="R950" s="211"/>
      <c r="S950" s="375">
        <f>3528</f>
        <v>3528</v>
      </c>
      <c r="T950" s="37"/>
      <c r="V950" s="6">
        <f t="shared" si="212"/>
        <v>0</v>
      </c>
    </row>
    <row r="951" spans="1:22" ht="30">
      <c r="A951" s="426">
        <f t="shared" si="211"/>
        <v>45</v>
      </c>
      <c r="B951" s="429" t="s">
        <v>1830</v>
      </c>
      <c r="C951" s="428" t="s">
        <v>1831</v>
      </c>
      <c r="D951" s="426" t="s">
        <v>31</v>
      </c>
      <c r="E951" s="428" t="s">
        <v>166</v>
      </c>
      <c r="F951" s="406" t="s">
        <v>1832</v>
      </c>
      <c r="G951" s="448">
        <v>3235.3698890000001</v>
      </c>
      <c r="H951" s="392"/>
      <c r="I951" s="392"/>
      <c r="J951" s="392"/>
      <c r="K951" s="375">
        <v>3235.3698890000001</v>
      </c>
      <c r="L951" s="374"/>
      <c r="M951" s="512">
        <f t="shared" si="213"/>
        <v>2486</v>
      </c>
      <c r="N951" s="211"/>
      <c r="O951" s="211"/>
      <c r="P951" s="211"/>
      <c r="Q951" s="211"/>
      <c r="R951" s="211"/>
      <c r="S951" s="375">
        <v>2486</v>
      </c>
      <c r="T951" s="37"/>
      <c r="V951" s="6">
        <f t="shared" si="212"/>
        <v>0</v>
      </c>
    </row>
    <row r="952" spans="1:22">
      <c r="A952" s="426">
        <f t="shared" si="211"/>
        <v>46</v>
      </c>
      <c r="B952" s="427" t="s">
        <v>1833</v>
      </c>
      <c r="C952" s="428" t="s">
        <v>1834</v>
      </c>
      <c r="D952" s="426" t="s">
        <v>31</v>
      </c>
      <c r="E952" s="428" t="s">
        <v>500</v>
      </c>
      <c r="F952" s="369" t="s">
        <v>1835</v>
      </c>
      <c r="G952" s="375">
        <v>1132.5402939999999</v>
      </c>
      <c r="H952" s="374"/>
      <c r="I952" s="374"/>
      <c r="J952" s="374"/>
      <c r="K952" s="375">
        <v>1132.5402939999999</v>
      </c>
      <c r="L952" s="374"/>
      <c r="M952" s="512">
        <f t="shared" si="213"/>
        <v>1133</v>
      </c>
      <c r="N952" s="211"/>
      <c r="O952" s="211"/>
      <c r="P952" s="211"/>
      <c r="Q952" s="211"/>
      <c r="R952" s="211"/>
      <c r="S952" s="375">
        <v>1133</v>
      </c>
      <c r="T952" s="37"/>
      <c r="V952" s="6">
        <f t="shared" si="212"/>
        <v>0</v>
      </c>
    </row>
    <row r="953" spans="1:22" ht="30">
      <c r="A953" s="426">
        <f t="shared" si="211"/>
        <v>47</v>
      </c>
      <c r="B953" s="438" t="s">
        <v>1836</v>
      </c>
      <c r="C953" s="428" t="s">
        <v>1837</v>
      </c>
      <c r="D953" s="432" t="s">
        <v>31</v>
      </c>
      <c r="E953" s="433" t="s">
        <v>55</v>
      </c>
      <c r="F953" s="404" t="s">
        <v>1838</v>
      </c>
      <c r="G953" s="407">
        <v>2599</v>
      </c>
      <c r="H953" s="407"/>
      <c r="I953" s="407"/>
      <c r="J953" s="407"/>
      <c r="K953" s="375">
        <v>2599</v>
      </c>
      <c r="L953" s="374"/>
      <c r="M953" s="512">
        <f t="shared" si="213"/>
        <v>2100</v>
      </c>
      <c r="N953" s="211"/>
      <c r="O953" s="211"/>
      <c r="P953" s="211"/>
      <c r="Q953" s="211"/>
      <c r="R953" s="211"/>
      <c r="S953" s="375">
        <v>2100</v>
      </c>
      <c r="T953" s="37"/>
      <c r="V953" s="6">
        <f t="shared" si="212"/>
        <v>0</v>
      </c>
    </row>
    <row r="954" spans="1:22" ht="30">
      <c r="A954" s="426">
        <f t="shared" si="211"/>
        <v>48</v>
      </c>
      <c r="B954" s="435" t="s">
        <v>1839</v>
      </c>
      <c r="C954" s="428" t="s">
        <v>1840</v>
      </c>
      <c r="D954" s="436" t="s">
        <v>31</v>
      </c>
      <c r="E954" s="436" t="s">
        <v>1779</v>
      </c>
      <c r="F954" s="402" t="s">
        <v>1841</v>
      </c>
      <c r="G954" s="408">
        <v>2875</v>
      </c>
      <c r="H954" s="408"/>
      <c r="I954" s="408"/>
      <c r="J954" s="408"/>
      <c r="K954" s="375">
        <v>2875</v>
      </c>
      <c r="L954" s="374"/>
      <c r="M954" s="512">
        <f t="shared" si="213"/>
        <v>2500</v>
      </c>
      <c r="N954" s="211"/>
      <c r="O954" s="211"/>
      <c r="P954" s="211"/>
      <c r="Q954" s="211"/>
      <c r="R954" s="211"/>
      <c r="S954" s="375">
        <v>2500</v>
      </c>
      <c r="T954" s="37"/>
      <c r="V954" s="6">
        <f t="shared" si="212"/>
        <v>0</v>
      </c>
    </row>
    <row r="955" spans="1:22" ht="30">
      <c r="A955" s="426">
        <f t="shared" si="211"/>
        <v>49</v>
      </c>
      <c r="B955" s="435" t="s">
        <v>1842</v>
      </c>
      <c r="C955" s="428" t="s">
        <v>1840</v>
      </c>
      <c r="D955" s="436" t="s">
        <v>31</v>
      </c>
      <c r="E955" s="436" t="s">
        <v>1779</v>
      </c>
      <c r="F955" s="402" t="s">
        <v>1843</v>
      </c>
      <c r="G955" s="408">
        <v>2845</v>
      </c>
      <c r="H955" s="408"/>
      <c r="I955" s="408"/>
      <c r="J955" s="408"/>
      <c r="K955" s="375">
        <v>2845</v>
      </c>
      <c r="L955" s="374"/>
      <c r="M955" s="512">
        <f t="shared" si="213"/>
        <v>2500</v>
      </c>
      <c r="N955" s="211"/>
      <c r="O955" s="211"/>
      <c r="P955" s="211"/>
      <c r="Q955" s="211"/>
      <c r="R955" s="211"/>
      <c r="S955" s="375">
        <v>2500</v>
      </c>
      <c r="T955" s="37"/>
      <c r="V955" s="6">
        <f t="shared" si="212"/>
        <v>0</v>
      </c>
    </row>
    <row r="956" spans="1:22" ht="30">
      <c r="A956" s="426">
        <f t="shared" si="211"/>
        <v>50</v>
      </c>
      <c r="B956" s="439" t="s">
        <v>1844</v>
      </c>
      <c r="C956" s="428" t="s">
        <v>1757</v>
      </c>
      <c r="D956" s="436" t="s">
        <v>31</v>
      </c>
      <c r="E956" s="428" t="s">
        <v>1314</v>
      </c>
      <c r="F956" s="369" t="s">
        <v>1845</v>
      </c>
      <c r="G956" s="448">
        <v>3290</v>
      </c>
      <c r="H956" s="383"/>
      <c r="I956" s="383"/>
      <c r="J956" s="383"/>
      <c r="K956" s="375">
        <v>3290</v>
      </c>
      <c r="L956" s="374"/>
      <c r="M956" s="512">
        <f t="shared" si="213"/>
        <v>2500</v>
      </c>
      <c r="N956" s="211"/>
      <c r="O956" s="211"/>
      <c r="P956" s="211"/>
      <c r="Q956" s="211"/>
      <c r="R956" s="211"/>
      <c r="S956" s="375">
        <v>2500</v>
      </c>
      <c r="T956" s="37"/>
      <c r="V956" s="6">
        <f t="shared" si="212"/>
        <v>0</v>
      </c>
    </row>
    <row r="957" spans="1:22" ht="30">
      <c r="A957" s="426">
        <f t="shared" si="211"/>
        <v>51</v>
      </c>
      <c r="B957" s="437" t="s">
        <v>1846</v>
      </c>
      <c r="C957" s="428" t="s">
        <v>1710</v>
      </c>
      <c r="D957" s="436" t="s">
        <v>31</v>
      </c>
      <c r="E957" s="428" t="s">
        <v>1314</v>
      </c>
      <c r="F957" s="393" t="s">
        <v>1847</v>
      </c>
      <c r="G957" s="446">
        <v>69673.817999999999</v>
      </c>
      <c r="H957" s="382"/>
      <c r="I957" s="382"/>
      <c r="J957" s="382"/>
      <c r="K957" s="446">
        <v>69673.817999999999</v>
      </c>
      <c r="L957" s="374"/>
      <c r="M957" s="512">
        <f t="shared" si="213"/>
        <v>35416</v>
      </c>
      <c r="N957" s="211"/>
      <c r="O957" s="211"/>
      <c r="P957" s="211"/>
      <c r="Q957" s="211"/>
      <c r="R957" s="211"/>
      <c r="S957" s="375">
        <v>35416</v>
      </c>
      <c r="T957" s="37"/>
      <c r="V957" s="6">
        <f t="shared" si="212"/>
        <v>0</v>
      </c>
    </row>
    <row r="958" spans="1:22" ht="45">
      <c r="A958" s="426">
        <f t="shared" si="211"/>
        <v>52</v>
      </c>
      <c r="B958" s="92" t="s">
        <v>1646</v>
      </c>
      <c r="C958" s="432" t="s">
        <v>1647</v>
      </c>
      <c r="D958" s="436" t="s">
        <v>31</v>
      </c>
      <c r="E958" s="432" t="s">
        <v>1314</v>
      </c>
      <c r="F958" s="409" t="s">
        <v>1848</v>
      </c>
      <c r="G958" s="386">
        <v>4955</v>
      </c>
      <c r="H958" s="386"/>
      <c r="I958" s="386"/>
      <c r="J958" s="386"/>
      <c r="K958" s="375">
        <v>4955</v>
      </c>
      <c r="L958" s="374"/>
      <c r="M958" s="512">
        <f t="shared" si="213"/>
        <v>3500</v>
      </c>
      <c r="N958" s="211"/>
      <c r="O958" s="211"/>
      <c r="P958" s="211"/>
      <c r="Q958" s="211"/>
      <c r="R958" s="211"/>
      <c r="S958" s="375">
        <v>3500</v>
      </c>
      <c r="T958" s="37"/>
      <c r="V958" s="6">
        <f t="shared" si="212"/>
        <v>0</v>
      </c>
    </row>
    <row r="959" spans="1:22" ht="45">
      <c r="A959" s="426">
        <f t="shared" si="211"/>
        <v>53</v>
      </c>
      <c r="B959" s="92" t="s">
        <v>1649</v>
      </c>
      <c r="C959" s="432" t="s">
        <v>1647</v>
      </c>
      <c r="D959" s="436" t="s">
        <v>31</v>
      </c>
      <c r="E959" s="432" t="s">
        <v>1314</v>
      </c>
      <c r="F959" s="409" t="s">
        <v>1849</v>
      </c>
      <c r="G959" s="386">
        <v>1260</v>
      </c>
      <c r="H959" s="386"/>
      <c r="I959" s="386"/>
      <c r="J959" s="386"/>
      <c r="K959" s="375">
        <v>1260</v>
      </c>
      <c r="L959" s="374"/>
      <c r="M959" s="512">
        <f t="shared" si="213"/>
        <v>2000</v>
      </c>
      <c r="N959" s="211"/>
      <c r="O959" s="211"/>
      <c r="P959" s="211"/>
      <c r="Q959" s="211"/>
      <c r="R959" s="211"/>
      <c r="S959" s="375">
        <v>2000</v>
      </c>
      <c r="T959" s="37"/>
      <c r="V959" s="6">
        <f t="shared" si="212"/>
        <v>0</v>
      </c>
    </row>
    <row r="960" spans="1:22" ht="60">
      <c r="A960" s="426">
        <f t="shared" si="211"/>
        <v>54</v>
      </c>
      <c r="B960" s="92" t="s">
        <v>1651</v>
      </c>
      <c r="C960" s="432" t="s">
        <v>1647</v>
      </c>
      <c r="D960" s="436" t="s">
        <v>31</v>
      </c>
      <c r="E960" s="432" t="s">
        <v>1314</v>
      </c>
      <c r="F960" s="409" t="s">
        <v>1850</v>
      </c>
      <c r="G960" s="386">
        <v>3187</v>
      </c>
      <c r="H960" s="386"/>
      <c r="I960" s="386"/>
      <c r="J960" s="386"/>
      <c r="K960" s="375">
        <v>3187</v>
      </c>
      <c r="L960" s="374"/>
      <c r="M960" s="512">
        <f t="shared" si="213"/>
        <v>2000</v>
      </c>
      <c r="N960" s="211"/>
      <c r="O960" s="211"/>
      <c r="P960" s="211"/>
      <c r="Q960" s="211"/>
      <c r="R960" s="211"/>
      <c r="S960" s="375">
        <v>2000</v>
      </c>
      <c r="T960" s="37"/>
      <c r="V960" s="6">
        <f t="shared" si="212"/>
        <v>0</v>
      </c>
    </row>
    <row r="961" spans="1:22" ht="75">
      <c r="A961" s="426">
        <f t="shared" si="211"/>
        <v>55</v>
      </c>
      <c r="B961" s="378" t="s">
        <v>1653</v>
      </c>
      <c r="C961" s="432" t="s">
        <v>1654</v>
      </c>
      <c r="D961" s="436" t="s">
        <v>31</v>
      </c>
      <c r="E961" s="432" t="s">
        <v>1314</v>
      </c>
      <c r="F961" s="409" t="s">
        <v>1851</v>
      </c>
      <c r="G961" s="386">
        <v>1913</v>
      </c>
      <c r="H961" s="386"/>
      <c r="I961" s="386"/>
      <c r="J961" s="386"/>
      <c r="K961" s="375">
        <v>1913</v>
      </c>
      <c r="L961" s="374"/>
      <c r="M961" s="512">
        <f t="shared" si="213"/>
        <v>1300</v>
      </c>
      <c r="N961" s="211"/>
      <c r="O961" s="211"/>
      <c r="P961" s="211"/>
      <c r="Q961" s="211"/>
      <c r="R961" s="211"/>
      <c r="S961" s="375">
        <v>1300</v>
      </c>
      <c r="T961" s="37"/>
      <c r="V961" s="6">
        <f t="shared" si="212"/>
        <v>0</v>
      </c>
    </row>
    <row r="962" spans="1:22" ht="30">
      <c r="A962" s="426">
        <f t="shared" si="211"/>
        <v>56</v>
      </c>
      <c r="B962" s="378" t="s">
        <v>1656</v>
      </c>
      <c r="C962" s="432" t="s">
        <v>1657</v>
      </c>
      <c r="D962" s="436" t="s">
        <v>31</v>
      </c>
      <c r="E962" s="432" t="s">
        <v>1314</v>
      </c>
      <c r="F962" s="409" t="s">
        <v>1852</v>
      </c>
      <c r="G962" s="386">
        <v>5234</v>
      </c>
      <c r="H962" s="386"/>
      <c r="I962" s="386"/>
      <c r="J962" s="386"/>
      <c r="K962" s="375">
        <v>5234</v>
      </c>
      <c r="L962" s="374"/>
      <c r="M962" s="512">
        <f t="shared" si="213"/>
        <v>5500</v>
      </c>
      <c r="N962" s="211"/>
      <c r="O962" s="211"/>
      <c r="P962" s="211"/>
      <c r="Q962" s="211"/>
      <c r="R962" s="211"/>
      <c r="S962" s="375">
        <v>5500</v>
      </c>
      <c r="T962" s="37"/>
      <c r="V962" s="6">
        <f t="shared" si="212"/>
        <v>0</v>
      </c>
    </row>
    <row r="963" spans="1:22" ht="30">
      <c r="A963" s="426">
        <f t="shared" si="211"/>
        <v>57</v>
      </c>
      <c r="B963" s="378" t="s">
        <v>1659</v>
      </c>
      <c r="C963" s="432" t="s">
        <v>1660</v>
      </c>
      <c r="D963" s="436" t="s">
        <v>31</v>
      </c>
      <c r="E963" s="432" t="s">
        <v>1314</v>
      </c>
      <c r="F963" s="409" t="s">
        <v>1853</v>
      </c>
      <c r="G963" s="386">
        <v>3077</v>
      </c>
      <c r="H963" s="386"/>
      <c r="I963" s="386"/>
      <c r="J963" s="386"/>
      <c r="K963" s="375">
        <v>3077</v>
      </c>
      <c r="L963" s="374"/>
      <c r="M963" s="512">
        <f t="shared" si="213"/>
        <v>3000</v>
      </c>
      <c r="N963" s="211"/>
      <c r="O963" s="211"/>
      <c r="P963" s="211"/>
      <c r="Q963" s="211"/>
      <c r="R963" s="211"/>
      <c r="S963" s="375">
        <v>3000</v>
      </c>
      <c r="T963" s="37"/>
      <c r="V963" s="6">
        <f t="shared" si="212"/>
        <v>0</v>
      </c>
    </row>
    <row r="964" spans="1:22" ht="45">
      <c r="A964" s="426">
        <f t="shared" si="211"/>
        <v>58</v>
      </c>
      <c r="B964" s="378" t="s">
        <v>1662</v>
      </c>
      <c r="C964" s="432" t="s">
        <v>1660</v>
      </c>
      <c r="D964" s="436" t="s">
        <v>31</v>
      </c>
      <c r="E964" s="432" t="s">
        <v>1314</v>
      </c>
      <c r="F964" s="409" t="s">
        <v>1854</v>
      </c>
      <c r="G964" s="386">
        <v>1850</v>
      </c>
      <c r="H964" s="386"/>
      <c r="I964" s="386"/>
      <c r="J964" s="386"/>
      <c r="K964" s="375">
        <v>1850</v>
      </c>
      <c r="L964" s="374"/>
      <c r="M964" s="512">
        <f t="shared" si="213"/>
        <v>1200</v>
      </c>
      <c r="N964" s="211"/>
      <c r="O964" s="211"/>
      <c r="P964" s="211"/>
      <c r="Q964" s="211"/>
      <c r="R964" s="211"/>
      <c r="S964" s="375">
        <v>1200</v>
      </c>
      <c r="T964" s="37"/>
      <c r="V964" s="6">
        <f t="shared" si="212"/>
        <v>0</v>
      </c>
    </row>
    <row r="965" spans="1:22" ht="30">
      <c r="A965" s="426">
        <f t="shared" si="211"/>
        <v>59</v>
      </c>
      <c r="B965" s="378" t="s">
        <v>1664</v>
      </c>
      <c r="C965" s="432" t="s">
        <v>1660</v>
      </c>
      <c r="D965" s="436" t="s">
        <v>31</v>
      </c>
      <c r="E965" s="432" t="s">
        <v>1314</v>
      </c>
      <c r="F965" s="409" t="s">
        <v>1855</v>
      </c>
      <c r="G965" s="386">
        <v>4273</v>
      </c>
      <c r="H965" s="386"/>
      <c r="I965" s="386"/>
      <c r="J965" s="386"/>
      <c r="K965" s="375">
        <v>4273</v>
      </c>
      <c r="L965" s="374"/>
      <c r="M965" s="512">
        <f t="shared" si="213"/>
        <v>2600</v>
      </c>
      <c r="N965" s="211"/>
      <c r="O965" s="211"/>
      <c r="P965" s="211"/>
      <c r="Q965" s="211"/>
      <c r="R965" s="211"/>
      <c r="S965" s="375">
        <v>2600</v>
      </c>
      <c r="T965" s="37"/>
      <c r="V965" s="6">
        <f t="shared" si="212"/>
        <v>0</v>
      </c>
    </row>
    <row r="966" spans="1:22" ht="30">
      <c r="A966" s="426">
        <f t="shared" si="211"/>
        <v>60</v>
      </c>
      <c r="B966" s="378" t="s">
        <v>1666</v>
      </c>
      <c r="C966" s="432" t="s">
        <v>1660</v>
      </c>
      <c r="D966" s="436" t="s">
        <v>31</v>
      </c>
      <c r="E966" s="432" t="s">
        <v>1314</v>
      </c>
      <c r="F966" s="409" t="s">
        <v>1856</v>
      </c>
      <c r="G966" s="386">
        <v>5045</v>
      </c>
      <c r="H966" s="386"/>
      <c r="I966" s="386"/>
      <c r="J966" s="386"/>
      <c r="K966" s="375">
        <v>5045</v>
      </c>
      <c r="L966" s="374"/>
      <c r="M966" s="512">
        <f t="shared" si="213"/>
        <v>4000</v>
      </c>
      <c r="N966" s="211"/>
      <c r="O966" s="211"/>
      <c r="P966" s="211"/>
      <c r="Q966" s="211"/>
      <c r="R966" s="211"/>
      <c r="S966" s="375">
        <v>4000</v>
      </c>
      <c r="T966" s="37"/>
      <c r="V966" s="6">
        <f t="shared" si="212"/>
        <v>0</v>
      </c>
    </row>
    <row r="967" spans="1:22" ht="45">
      <c r="A967" s="426">
        <f t="shared" si="211"/>
        <v>61</v>
      </c>
      <c r="B967" s="378" t="s">
        <v>1667</v>
      </c>
      <c r="C967" s="432" t="s">
        <v>1668</v>
      </c>
      <c r="D967" s="436" t="s">
        <v>31</v>
      </c>
      <c r="E967" s="432" t="s">
        <v>1314</v>
      </c>
      <c r="F967" s="409" t="s">
        <v>1857</v>
      </c>
      <c r="G967" s="386">
        <v>2718</v>
      </c>
      <c r="H967" s="386"/>
      <c r="I967" s="386"/>
      <c r="J967" s="386"/>
      <c r="K967" s="375">
        <v>2718</v>
      </c>
      <c r="L967" s="374"/>
      <c r="M967" s="512">
        <f t="shared" si="213"/>
        <v>2200</v>
      </c>
      <c r="N967" s="211"/>
      <c r="O967" s="211"/>
      <c r="P967" s="211"/>
      <c r="Q967" s="211"/>
      <c r="R967" s="211"/>
      <c r="S967" s="375">
        <v>2200</v>
      </c>
      <c r="T967" s="37"/>
      <c r="V967" s="6">
        <f t="shared" si="212"/>
        <v>0</v>
      </c>
    </row>
    <row r="968" spans="1:22" ht="30">
      <c r="A968" s="426">
        <f t="shared" si="211"/>
        <v>62</v>
      </c>
      <c r="B968" s="378" t="s">
        <v>1670</v>
      </c>
      <c r="C968" s="432" t="s">
        <v>1668</v>
      </c>
      <c r="D968" s="436" t="s">
        <v>31</v>
      </c>
      <c r="E968" s="432" t="s">
        <v>1314</v>
      </c>
      <c r="F968" s="409" t="s">
        <v>1858</v>
      </c>
      <c r="G968" s="386">
        <v>5999</v>
      </c>
      <c r="H968" s="386"/>
      <c r="I968" s="386"/>
      <c r="J968" s="386"/>
      <c r="K968" s="375">
        <v>5999</v>
      </c>
      <c r="L968" s="374"/>
      <c r="M968" s="512">
        <f t="shared" si="213"/>
        <v>5294</v>
      </c>
      <c r="N968" s="211"/>
      <c r="O968" s="211"/>
      <c r="P968" s="211"/>
      <c r="Q968" s="211"/>
      <c r="R968" s="211"/>
      <c r="S968" s="375">
        <v>5294</v>
      </c>
      <c r="T968" s="37"/>
      <c r="V968" s="6">
        <f t="shared" si="212"/>
        <v>0</v>
      </c>
    </row>
    <row r="969" spans="1:22" ht="30">
      <c r="A969" s="426">
        <f t="shared" si="211"/>
        <v>63</v>
      </c>
      <c r="B969" s="378" t="s">
        <v>1672</v>
      </c>
      <c r="C969" s="432" t="s">
        <v>1673</v>
      </c>
      <c r="D969" s="436" t="s">
        <v>31</v>
      </c>
      <c r="E969" s="432" t="s">
        <v>1314</v>
      </c>
      <c r="F969" s="409" t="s">
        <v>1859</v>
      </c>
      <c r="G969" s="386">
        <v>4199</v>
      </c>
      <c r="H969" s="386"/>
      <c r="I969" s="386"/>
      <c r="J969" s="386"/>
      <c r="K969" s="375">
        <v>4199</v>
      </c>
      <c r="L969" s="374"/>
      <c r="M969" s="512">
        <f t="shared" si="213"/>
        <v>3200</v>
      </c>
      <c r="N969" s="211"/>
      <c r="O969" s="211"/>
      <c r="P969" s="211"/>
      <c r="Q969" s="211"/>
      <c r="R969" s="211"/>
      <c r="S969" s="375">
        <v>3200</v>
      </c>
      <c r="T969" s="37"/>
      <c r="V969" s="6">
        <f t="shared" si="212"/>
        <v>0</v>
      </c>
    </row>
    <row r="970" spans="1:22" ht="30">
      <c r="A970" s="426">
        <f t="shared" si="211"/>
        <v>64</v>
      </c>
      <c r="B970" s="427" t="s">
        <v>1860</v>
      </c>
      <c r="C970" s="428" t="s">
        <v>1776</v>
      </c>
      <c r="D970" s="426" t="s">
        <v>31</v>
      </c>
      <c r="E970" s="428" t="s">
        <v>414</v>
      </c>
      <c r="F970" s="402" t="s">
        <v>1861</v>
      </c>
      <c r="G970" s="408">
        <v>984</v>
      </c>
      <c r="H970" s="408"/>
      <c r="I970" s="408"/>
      <c r="J970" s="408"/>
      <c r="K970" s="375">
        <v>984</v>
      </c>
      <c r="L970" s="374"/>
      <c r="M970" s="512">
        <f t="shared" si="213"/>
        <v>950</v>
      </c>
      <c r="N970" s="211"/>
      <c r="O970" s="211"/>
      <c r="P970" s="211"/>
      <c r="Q970" s="211"/>
      <c r="R970" s="211"/>
      <c r="S970" s="375">
        <v>950</v>
      </c>
      <c r="T970" s="37"/>
      <c r="V970" s="6">
        <f t="shared" si="212"/>
        <v>0</v>
      </c>
    </row>
    <row r="971" spans="1:22" ht="30">
      <c r="A971" s="426">
        <f t="shared" si="211"/>
        <v>65</v>
      </c>
      <c r="B971" s="427" t="s">
        <v>1862</v>
      </c>
      <c r="C971" s="428" t="s">
        <v>1863</v>
      </c>
      <c r="D971" s="426" t="s">
        <v>31</v>
      </c>
      <c r="E971" s="428" t="s">
        <v>414</v>
      </c>
      <c r="F971" s="402" t="s">
        <v>1864</v>
      </c>
      <c r="G971" s="408">
        <v>870</v>
      </c>
      <c r="H971" s="408"/>
      <c r="I971" s="408"/>
      <c r="J971" s="408"/>
      <c r="K971" s="375">
        <v>870</v>
      </c>
      <c r="L971" s="374"/>
      <c r="M971" s="512">
        <f t="shared" si="213"/>
        <v>830</v>
      </c>
      <c r="N971" s="211"/>
      <c r="O971" s="211"/>
      <c r="P971" s="211"/>
      <c r="Q971" s="211"/>
      <c r="R971" s="211"/>
      <c r="S971" s="375">
        <v>830</v>
      </c>
      <c r="T971" s="37"/>
      <c r="V971" s="6">
        <f t="shared" si="212"/>
        <v>0</v>
      </c>
    </row>
    <row r="972" spans="1:22" ht="30">
      <c r="A972" s="426">
        <f t="shared" si="211"/>
        <v>66</v>
      </c>
      <c r="B972" s="429" t="s">
        <v>1865</v>
      </c>
      <c r="C972" s="428" t="s">
        <v>97</v>
      </c>
      <c r="D972" s="426" t="s">
        <v>31</v>
      </c>
      <c r="E972" s="428" t="s">
        <v>166</v>
      </c>
      <c r="F972" s="404" t="s">
        <v>1866</v>
      </c>
      <c r="G972" s="407">
        <v>3831</v>
      </c>
      <c r="H972" s="407"/>
      <c r="I972" s="407"/>
      <c r="J972" s="407"/>
      <c r="K972" s="375">
        <v>3831</v>
      </c>
      <c r="L972" s="374"/>
      <c r="M972" s="512">
        <f t="shared" si="213"/>
        <v>3284</v>
      </c>
      <c r="N972" s="211"/>
      <c r="O972" s="211"/>
      <c r="P972" s="211"/>
      <c r="Q972" s="211"/>
      <c r="R972" s="211"/>
      <c r="S972" s="375">
        <v>3284</v>
      </c>
      <c r="T972" s="37"/>
      <c r="V972" s="6">
        <f t="shared" si="212"/>
        <v>0</v>
      </c>
    </row>
    <row r="973" spans="1:22" ht="38.25">
      <c r="A973" s="426">
        <f t="shared" ref="A973:A1009" si="214">A972+1</f>
        <v>67</v>
      </c>
      <c r="B973" s="427" t="s">
        <v>1867</v>
      </c>
      <c r="C973" s="428" t="s">
        <v>1868</v>
      </c>
      <c r="D973" s="426" t="s">
        <v>31</v>
      </c>
      <c r="E973" s="428" t="s">
        <v>47</v>
      </c>
      <c r="F973" s="369" t="s">
        <v>1869</v>
      </c>
      <c r="G973" s="407">
        <v>1121</v>
      </c>
      <c r="H973" s="374"/>
      <c r="I973" s="374"/>
      <c r="J973" s="374"/>
      <c r="K973" s="375">
        <v>1121</v>
      </c>
      <c r="L973" s="374"/>
      <c r="M973" s="512">
        <f t="shared" si="213"/>
        <v>1008</v>
      </c>
      <c r="N973" s="211"/>
      <c r="O973" s="211"/>
      <c r="P973" s="211"/>
      <c r="Q973" s="211"/>
      <c r="R973" s="211"/>
      <c r="S973" s="375">
        <v>1008</v>
      </c>
      <c r="T973" s="37"/>
      <c r="V973" s="6">
        <f t="shared" si="212"/>
        <v>0</v>
      </c>
    </row>
    <row r="974" spans="1:22" ht="51">
      <c r="A974" s="426">
        <f t="shared" si="214"/>
        <v>68</v>
      </c>
      <c r="B974" s="429" t="s">
        <v>1870</v>
      </c>
      <c r="C974" s="428" t="s">
        <v>1812</v>
      </c>
      <c r="D974" s="426" t="s">
        <v>31</v>
      </c>
      <c r="E974" s="428" t="s">
        <v>166</v>
      </c>
      <c r="F974" s="404" t="s">
        <v>1871</v>
      </c>
      <c r="G974" s="407">
        <v>1128</v>
      </c>
      <c r="H974" s="405"/>
      <c r="I974" s="405"/>
      <c r="J974" s="405"/>
      <c r="K974" s="375">
        <v>1128</v>
      </c>
      <c r="L974" s="374"/>
      <c r="M974" s="512">
        <f t="shared" si="213"/>
        <v>1016</v>
      </c>
      <c r="N974" s="211"/>
      <c r="O974" s="211"/>
      <c r="P974" s="211"/>
      <c r="Q974" s="211"/>
      <c r="R974" s="211"/>
      <c r="S974" s="375">
        <v>1016</v>
      </c>
      <c r="T974" s="37"/>
      <c r="V974" s="6">
        <f t="shared" si="212"/>
        <v>0</v>
      </c>
    </row>
    <row r="975" spans="1:22" ht="25.5">
      <c r="A975" s="426">
        <f t="shared" si="214"/>
        <v>69</v>
      </c>
      <c r="B975" s="429" t="s">
        <v>1872</v>
      </c>
      <c r="C975" s="428" t="s">
        <v>1831</v>
      </c>
      <c r="D975" s="426" t="s">
        <v>31</v>
      </c>
      <c r="E975" s="428" t="s">
        <v>166</v>
      </c>
      <c r="F975" s="369" t="s">
        <v>1873</v>
      </c>
      <c r="G975" s="407">
        <v>608.89060099999995</v>
      </c>
      <c r="H975" s="374"/>
      <c r="I975" s="374"/>
      <c r="J975" s="374"/>
      <c r="K975" s="375">
        <v>608.89060099999995</v>
      </c>
      <c r="L975" s="374"/>
      <c r="M975" s="512">
        <f t="shared" si="213"/>
        <v>574</v>
      </c>
      <c r="N975" s="211"/>
      <c r="O975" s="211"/>
      <c r="P975" s="211"/>
      <c r="Q975" s="211"/>
      <c r="R975" s="211"/>
      <c r="S975" s="375">
        <v>574</v>
      </c>
      <c r="T975" s="37"/>
      <c r="V975" s="6">
        <f t="shared" si="212"/>
        <v>0</v>
      </c>
    </row>
    <row r="976" spans="1:22" ht="25.5">
      <c r="A976" s="426">
        <f t="shared" si="214"/>
        <v>70</v>
      </c>
      <c r="B976" s="427" t="s">
        <v>1874</v>
      </c>
      <c r="C976" s="428" t="s">
        <v>1692</v>
      </c>
      <c r="D976" s="426" t="s">
        <v>31</v>
      </c>
      <c r="E976" s="428" t="s">
        <v>283</v>
      </c>
      <c r="F976" s="369" t="s">
        <v>1875</v>
      </c>
      <c r="G976" s="407">
        <v>14695.348744000001</v>
      </c>
      <c r="H976" s="374"/>
      <c r="I976" s="374"/>
      <c r="J976" s="374"/>
      <c r="K976" s="375">
        <v>14695.348744000001</v>
      </c>
      <c r="L976" s="374"/>
      <c r="M976" s="512">
        <f t="shared" si="213"/>
        <v>13644</v>
      </c>
      <c r="N976" s="211"/>
      <c r="O976" s="211"/>
      <c r="P976" s="211"/>
      <c r="Q976" s="211"/>
      <c r="R976" s="211"/>
      <c r="S976" s="375">
        <v>13644</v>
      </c>
      <c r="T976" s="37"/>
      <c r="V976" s="6">
        <f t="shared" si="212"/>
        <v>0</v>
      </c>
    </row>
    <row r="977" spans="1:22" ht="30">
      <c r="A977" s="426">
        <f t="shared" si="214"/>
        <v>71</v>
      </c>
      <c r="B977" s="430" t="s">
        <v>1876</v>
      </c>
      <c r="C977" s="428" t="s">
        <v>1676</v>
      </c>
      <c r="D977" s="431" t="s">
        <v>31</v>
      </c>
      <c r="E977" s="431" t="s">
        <v>166</v>
      </c>
      <c r="F977" s="404" t="s">
        <v>1877</v>
      </c>
      <c r="G977" s="407">
        <v>438</v>
      </c>
      <c r="H977" s="407"/>
      <c r="I977" s="407"/>
      <c r="J977" s="407"/>
      <c r="K977" s="375">
        <v>438</v>
      </c>
      <c r="L977" s="374"/>
      <c r="M977" s="512">
        <f t="shared" si="213"/>
        <v>395</v>
      </c>
      <c r="N977" s="211"/>
      <c r="O977" s="211"/>
      <c r="P977" s="211"/>
      <c r="Q977" s="211"/>
      <c r="R977" s="211"/>
      <c r="S977" s="375">
        <v>395</v>
      </c>
      <c r="T977" s="37"/>
      <c r="V977" s="6">
        <f t="shared" si="212"/>
        <v>0</v>
      </c>
    </row>
    <row r="978" spans="1:22" ht="30">
      <c r="A978" s="426">
        <f t="shared" si="214"/>
        <v>72</v>
      </c>
      <c r="B978" s="430" t="s">
        <v>1878</v>
      </c>
      <c r="C978" s="428" t="s">
        <v>1710</v>
      </c>
      <c r="D978" s="432" t="s">
        <v>31</v>
      </c>
      <c r="E978" s="433" t="s">
        <v>55</v>
      </c>
      <c r="F978" s="410" t="s">
        <v>1879</v>
      </c>
      <c r="G978" s="407">
        <v>10940</v>
      </c>
      <c r="H978" s="374"/>
      <c r="I978" s="374"/>
      <c r="J978" s="374"/>
      <c r="K978" s="375">
        <v>10940</v>
      </c>
      <c r="L978" s="374"/>
      <c r="M978" s="512">
        <f t="shared" si="213"/>
        <v>10000</v>
      </c>
      <c r="N978" s="211"/>
      <c r="O978" s="211"/>
      <c r="P978" s="211"/>
      <c r="Q978" s="211"/>
      <c r="R978" s="211"/>
      <c r="S978" s="375">
        <v>10000</v>
      </c>
      <c r="T978" s="37"/>
      <c r="V978" s="6">
        <f t="shared" si="212"/>
        <v>0</v>
      </c>
    </row>
    <row r="979" spans="1:22" ht="30">
      <c r="A979" s="426">
        <f t="shared" si="214"/>
        <v>73</v>
      </c>
      <c r="B979" s="440" t="s">
        <v>1880</v>
      </c>
      <c r="C979" s="428" t="s">
        <v>1776</v>
      </c>
      <c r="D979" s="441" t="s">
        <v>31</v>
      </c>
      <c r="E979" s="436" t="s">
        <v>1268</v>
      </c>
      <c r="F979" s="410" t="s">
        <v>1881</v>
      </c>
      <c r="G979" s="407">
        <v>6350</v>
      </c>
      <c r="H979" s="405"/>
      <c r="I979" s="405"/>
      <c r="J979" s="405"/>
      <c r="K979" s="375">
        <v>6350</v>
      </c>
      <c r="L979" s="374"/>
      <c r="M979" s="512">
        <f t="shared" si="213"/>
        <v>5200</v>
      </c>
      <c r="N979" s="211"/>
      <c r="O979" s="211"/>
      <c r="P979" s="211"/>
      <c r="Q979" s="211"/>
      <c r="R979" s="211"/>
      <c r="S979" s="375">
        <v>5200</v>
      </c>
      <c r="T979" s="37"/>
      <c r="V979" s="6">
        <f t="shared" si="212"/>
        <v>0</v>
      </c>
    </row>
    <row r="980" spans="1:22" ht="30">
      <c r="A980" s="426">
        <f t="shared" si="214"/>
        <v>74</v>
      </c>
      <c r="B980" s="439" t="s">
        <v>1882</v>
      </c>
      <c r="C980" s="428" t="s">
        <v>1757</v>
      </c>
      <c r="D980" s="441" t="s">
        <v>31</v>
      </c>
      <c r="E980" s="436" t="s">
        <v>414</v>
      </c>
      <c r="F980" s="53" t="s">
        <v>1883</v>
      </c>
      <c r="G980" s="407">
        <v>693</v>
      </c>
      <c r="H980" s="383"/>
      <c r="I980" s="383"/>
      <c r="J980" s="383"/>
      <c r="K980" s="375">
        <v>693</v>
      </c>
      <c r="L980" s="374"/>
      <c r="M980" s="512">
        <f t="shared" si="213"/>
        <v>600</v>
      </c>
      <c r="N980" s="211"/>
      <c r="O980" s="211"/>
      <c r="P980" s="211"/>
      <c r="Q980" s="211"/>
      <c r="R980" s="211"/>
      <c r="S980" s="375">
        <v>600</v>
      </c>
      <c r="T980" s="37"/>
      <c r="V980" s="6">
        <f t="shared" ref="V980:V1043" si="215">G980-H980-I980-J980-K980</f>
        <v>0</v>
      </c>
    </row>
    <row r="981" spans="1:22" ht="38.25">
      <c r="A981" s="426">
        <f t="shared" si="214"/>
        <v>75</v>
      </c>
      <c r="B981" s="427" t="s">
        <v>1884</v>
      </c>
      <c r="C981" s="428" t="s">
        <v>1710</v>
      </c>
      <c r="D981" s="426" t="s">
        <v>31</v>
      </c>
      <c r="E981" s="428" t="s">
        <v>500</v>
      </c>
      <c r="F981" s="369" t="s">
        <v>1885</v>
      </c>
      <c r="G981" s="448">
        <v>1841.2722269999999</v>
      </c>
      <c r="H981" s="383"/>
      <c r="I981" s="383"/>
      <c r="J981" s="383"/>
      <c r="K981" s="448">
        <v>1841.2722269999999</v>
      </c>
      <c r="L981" s="383"/>
      <c r="M981" s="512">
        <f t="shared" si="213"/>
        <v>1527</v>
      </c>
      <c r="N981" s="211"/>
      <c r="O981" s="211"/>
      <c r="P981" s="211"/>
      <c r="Q981" s="211"/>
      <c r="R981" s="211"/>
      <c r="S981" s="375">
        <v>1527</v>
      </c>
      <c r="T981" s="37"/>
      <c r="V981" s="6">
        <f t="shared" si="215"/>
        <v>0</v>
      </c>
    </row>
    <row r="982" spans="1:22" ht="25.5">
      <c r="A982" s="426">
        <f t="shared" si="214"/>
        <v>76</v>
      </c>
      <c r="B982" s="427" t="s">
        <v>1886</v>
      </c>
      <c r="C982" s="428" t="s">
        <v>1729</v>
      </c>
      <c r="D982" s="426" t="s">
        <v>31</v>
      </c>
      <c r="E982" s="428" t="s">
        <v>500</v>
      </c>
      <c r="F982" s="369" t="s">
        <v>1887</v>
      </c>
      <c r="G982" s="407">
        <v>1712.7939409999999</v>
      </c>
      <c r="H982" s="383"/>
      <c r="I982" s="383"/>
      <c r="J982" s="383"/>
      <c r="K982" s="448">
        <v>1712.7939409999999</v>
      </c>
      <c r="L982" s="383"/>
      <c r="M982" s="512">
        <f t="shared" si="213"/>
        <v>1627</v>
      </c>
      <c r="N982" s="211"/>
      <c r="O982" s="211"/>
      <c r="P982" s="211"/>
      <c r="Q982" s="211"/>
      <c r="R982" s="211"/>
      <c r="S982" s="375">
        <v>1627</v>
      </c>
      <c r="T982" s="37"/>
      <c r="V982" s="6">
        <f t="shared" si="215"/>
        <v>0</v>
      </c>
    </row>
    <row r="983" spans="1:22" ht="25.5">
      <c r="A983" s="426">
        <f t="shared" si="214"/>
        <v>77</v>
      </c>
      <c r="B983" s="442" t="s">
        <v>1888</v>
      </c>
      <c r="C983" s="428" t="s">
        <v>1757</v>
      </c>
      <c r="D983" s="426" t="s">
        <v>31</v>
      </c>
      <c r="E983" s="428" t="s">
        <v>47</v>
      </c>
      <c r="F983" s="369" t="s">
        <v>1889</v>
      </c>
      <c r="G983" s="407">
        <v>1222.672577</v>
      </c>
      <c r="H983" s="374"/>
      <c r="I983" s="374"/>
      <c r="J983" s="374"/>
      <c r="K983" s="448">
        <v>1222.672577</v>
      </c>
      <c r="L983" s="383"/>
      <c r="M983" s="512">
        <f t="shared" si="213"/>
        <v>1139</v>
      </c>
      <c r="N983" s="211"/>
      <c r="O983" s="211"/>
      <c r="P983" s="211"/>
      <c r="Q983" s="211"/>
      <c r="R983" s="211"/>
      <c r="S983" s="375">
        <v>1139</v>
      </c>
      <c r="T983" s="37"/>
      <c r="V983" s="6">
        <f t="shared" si="215"/>
        <v>0</v>
      </c>
    </row>
    <row r="984" spans="1:22" ht="30">
      <c r="A984" s="426">
        <f t="shared" si="214"/>
        <v>78</v>
      </c>
      <c r="B984" s="427" t="s">
        <v>1890</v>
      </c>
      <c r="C984" s="428" t="s">
        <v>1837</v>
      </c>
      <c r="D984" s="426" t="s">
        <v>31</v>
      </c>
      <c r="E984" s="428" t="s">
        <v>1891</v>
      </c>
      <c r="F984" s="53" t="s">
        <v>1892</v>
      </c>
      <c r="G984" s="407">
        <v>1207</v>
      </c>
      <c r="H984" s="374"/>
      <c r="I984" s="374"/>
      <c r="J984" s="374"/>
      <c r="K984" s="375">
        <v>1207</v>
      </c>
      <c r="L984" s="374"/>
      <c r="M984" s="512">
        <f t="shared" si="213"/>
        <v>1200</v>
      </c>
      <c r="N984" s="211"/>
      <c r="O984" s="211"/>
      <c r="P984" s="211"/>
      <c r="Q984" s="211"/>
      <c r="R984" s="211"/>
      <c r="S984" s="375">
        <v>1200</v>
      </c>
      <c r="T984" s="37"/>
      <c r="V984" s="6">
        <f t="shared" si="215"/>
        <v>0</v>
      </c>
    </row>
    <row r="985" spans="1:22" ht="30">
      <c r="A985" s="426">
        <f t="shared" si="214"/>
        <v>79</v>
      </c>
      <c r="B985" s="429" t="s">
        <v>1893</v>
      </c>
      <c r="C985" s="428" t="s">
        <v>97</v>
      </c>
      <c r="D985" s="426" t="s">
        <v>31</v>
      </c>
      <c r="E985" s="428" t="s">
        <v>166</v>
      </c>
      <c r="F985" s="404" t="s">
        <v>1894</v>
      </c>
      <c r="G985" s="407">
        <v>12335</v>
      </c>
      <c r="H985" s="407"/>
      <c r="I985" s="407"/>
      <c r="J985" s="407"/>
      <c r="K985" s="448">
        <v>12335</v>
      </c>
      <c r="L985" s="383"/>
      <c r="M985" s="512">
        <f t="shared" si="213"/>
        <v>11710</v>
      </c>
      <c r="N985" s="211"/>
      <c r="O985" s="211"/>
      <c r="P985" s="211"/>
      <c r="Q985" s="211"/>
      <c r="R985" s="211"/>
      <c r="S985" s="375">
        <f>11710</f>
        <v>11710</v>
      </c>
      <c r="T985" s="37"/>
      <c r="V985" s="6">
        <f t="shared" si="215"/>
        <v>0</v>
      </c>
    </row>
    <row r="986" spans="1:22" ht="30">
      <c r="A986" s="426">
        <f t="shared" si="214"/>
        <v>80</v>
      </c>
      <c r="B986" s="429" t="s">
        <v>1895</v>
      </c>
      <c r="C986" s="428" t="s">
        <v>97</v>
      </c>
      <c r="D986" s="443"/>
      <c r="E986" s="428" t="s">
        <v>166</v>
      </c>
      <c r="F986" s="404" t="s">
        <v>1896</v>
      </c>
      <c r="G986" s="450">
        <v>5977</v>
      </c>
      <c r="H986" s="405"/>
      <c r="I986" s="405"/>
      <c r="J986" s="405"/>
      <c r="K986" s="448">
        <v>5977</v>
      </c>
      <c r="L986" s="383"/>
      <c r="M986" s="512">
        <f t="shared" si="213"/>
        <v>6274</v>
      </c>
      <c r="N986" s="211"/>
      <c r="O986" s="211"/>
      <c r="P986" s="211"/>
      <c r="Q986" s="211"/>
      <c r="R986" s="211"/>
      <c r="S986" s="375">
        <v>6274</v>
      </c>
      <c r="T986" s="37"/>
      <c r="V986" s="6">
        <f t="shared" si="215"/>
        <v>0</v>
      </c>
    </row>
    <row r="987" spans="1:22" ht="38.25">
      <c r="A987" s="426">
        <f t="shared" si="214"/>
        <v>81</v>
      </c>
      <c r="B987" s="430" t="s">
        <v>1897</v>
      </c>
      <c r="C987" s="428" t="s">
        <v>1898</v>
      </c>
      <c r="D987" s="431" t="s">
        <v>31</v>
      </c>
      <c r="E987" s="431" t="s">
        <v>166</v>
      </c>
      <c r="F987" s="404" t="s">
        <v>1899</v>
      </c>
      <c r="G987" s="447">
        <v>6091</v>
      </c>
      <c r="H987" s="407"/>
      <c r="I987" s="407"/>
      <c r="J987" s="407"/>
      <c r="K987" s="448">
        <v>6091</v>
      </c>
      <c r="L987" s="383"/>
      <c r="M987" s="512">
        <f t="shared" si="213"/>
        <v>5200</v>
      </c>
      <c r="N987" s="211"/>
      <c r="O987" s="211"/>
      <c r="P987" s="211"/>
      <c r="Q987" s="211"/>
      <c r="R987" s="211"/>
      <c r="S987" s="375">
        <v>5200</v>
      </c>
      <c r="T987" s="37"/>
      <c r="V987" s="6">
        <f t="shared" si="215"/>
        <v>0</v>
      </c>
    </row>
    <row r="988" spans="1:22" ht="30">
      <c r="A988" s="426">
        <f t="shared" si="214"/>
        <v>82</v>
      </c>
      <c r="B988" s="430" t="s">
        <v>1900</v>
      </c>
      <c r="C988" s="428" t="s">
        <v>1776</v>
      </c>
      <c r="D988" s="432" t="s">
        <v>31</v>
      </c>
      <c r="E988" s="433" t="s">
        <v>1268</v>
      </c>
      <c r="F988" s="410" t="s">
        <v>1901</v>
      </c>
      <c r="G988" s="447">
        <v>14679</v>
      </c>
      <c r="H988" s="405"/>
      <c r="I988" s="405"/>
      <c r="J988" s="405"/>
      <c r="K988" s="448">
        <v>14679</v>
      </c>
      <c r="L988" s="383"/>
      <c r="M988" s="512">
        <f t="shared" si="213"/>
        <v>13700</v>
      </c>
      <c r="N988" s="211"/>
      <c r="O988" s="211"/>
      <c r="P988" s="211"/>
      <c r="Q988" s="211"/>
      <c r="R988" s="211"/>
      <c r="S988" s="375">
        <v>13700</v>
      </c>
      <c r="T988" s="37"/>
      <c r="V988" s="6">
        <f t="shared" si="215"/>
        <v>0</v>
      </c>
    </row>
    <row r="989" spans="1:22" ht="30">
      <c r="A989" s="426">
        <f t="shared" si="214"/>
        <v>83</v>
      </c>
      <c r="B989" s="444" t="s">
        <v>1902</v>
      </c>
      <c r="C989" s="428" t="s">
        <v>1737</v>
      </c>
      <c r="D989" s="432" t="s">
        <v>31</v>
      </c>
      <c r="E989" s="433" t="s">
        <v>1268</v>
      </c>
      <c r="F989" s="410" t="s">
        <v>1903</v>
      </c>
      <c r="G989" s="447">
        <v>5945</v>
      </c>
      <c r="H989" s="405"/>
      <c r="I989" s="405"/>
      <c r="J989" s="405"/>
      <c r="K989" s="448">
        <v>5945</v>
      </c>
      <c r="L989" s="383"/>
      <c r="M989" s="512">
        <f t="shared" si="213"/>
        <v>5000</v>
      </c>
      <c r="N989" s="211"/>
      <c r="O989" s="211"/>
      <c r="P989" s="211"/>
      <c r="Q989" s="211"/>
      <c r="R989" s="211"/>
      <c r="S989" s="375">
        <v>5000</v>
      </c>
      <c r="T989" s="37"/>
      <c r="V989" s="6">
        <f t="shared" si="215"/>
        <v>0</v>
      </c>
    </row>
    <row r="990" spans="1:22" ht="30">
      <c r="A990" s="426">
        <f t="shared" si="214"/>
        <v>84</v>
      </c>
      <c r="B990" s="430" t="s">
        <v>1904</v>
      </c>
      <c r="C990" s="428" t="s">
        <v>1729</v>
      </c>
      <c r="D990" s="432" t="s">
        <v>31</v>
      </c>
      <c r="E990" s="433" t="s">
        <v>414</v>
      </c>
      <c r="F990" s="410" t="s">
        <v>1905</v>
      </c>
      <c r="G990" s="447">
        <v>5441</v>
      </c>
      <c r="H990" s="405"/>
      <c r="I990" s="405"/>
      <c r="J990" s="405"/>
      <c r="K990" s="448">
        <v>5441</v>
      </c>
      <c r="L990" s="383"/>
      <c r="M990" s="512">
        <f t="shared" si="213"/>
        <v>5350</v>
      </c>
      <c r="N990" s="211"/>
      <c r="O990" s="211"/>
      <c r="P990" s="211"/>
      <c r="Q990" s="211"/>
      <c r="R990" s="211"/>
      <c r="S990" s="375">
        <v>5350</v>
      </c>
      <c r="T990" s="37"/>
      <c r="V990" s="6">
        <f t="shared" si="215"/>
        <v>0</v>
      </c>
    </row>
    <row r="991" spans="1:22">
      <c r="A991" s="426">
        <f t="shared" si="214"/>
        <v>85</v>
      </c>
      <c r="B991" s="427" t="s">
        <v>1906</v>
      </c>
      <c r="C991" s="428" t="s">
        <v>97</v>
      </c>
      <c r="D991" s="426" t="s">
        <v>31</v>
      </c>
      <c r="E991" s="428" t="s">
        <v>500</v>
      </c>
      <c r="F991" s="393" t="s">
        <v>1907</v>
      </c>
      <c r="G991" s="447">
        <v>4380</v>
      </c>
      <c r="H991" s="382"/>
      <c r="I991" s="382"/>
      <c r="J991" s="382"/>
      <c r="K991" s="446">
        <v>4380</v>
      </c>
      <c r="L991" s="374"/>
      <c r="M991" s="512">
        <f t="shared" si="213"/>
        <v>4143</v>
      </c>
      <c r="N991" s="211"/>
      <c r="O991" s="211"/>
      <c r="P991" s="211"/>
      <c r="Q991" s="211"/>
      <c r="R991" s="211"/>
      <c r="S991" s="375">
        <v>4143</v>
      </c>
      <c r="T991" s="37"/>
      <c r="V991" s="6">
        <f t="shared" si="215"/>
        <v>0</v>
      </c>
    </row>
    <row r="992" spans="1:22" ht="38.25">
      <c r="A992" s="426">
        <f t="shared" si="214"/>
        <v>86</v>
      </c>
      <c r="B992" s="427" t="s">
        <v>1908</v>
      </c>
      <c r="C992" s="428" t="s">
        <v>1909</v>
      </c>
      <c r="D992" s="426" t="s">
        <v>31</v>
      </c>
      <c r="E992" s="428" t="s">
        <v>500</v>
      </c>
      <c r="F992" s="393" t="s">
        <v>1910</v>
      </c>
      <c r="G992" s="447">
        <v>5665.923965</v>
      </c>
      <c r="H992" s="382"/>
      <c r="I992" s="382"/>
      <c r="J992" s="382"/>
      <c r="K992" s="446">
        <v>5665.923965</v>
      </c>
      <c r="L992" s="374"/>
      <c r="M992" s="512">
        <f t="shared" si="213"/>
        <v>5405</v>
      </c>
      <c r="N992" s="211"/>
      <c r="O992" s="211"/>
      <c r="P992" s="211"/>
      <c r="Q992" s="211"/>
      <c r="R992" s="211"/>
      <c r="S992" s="375">
        <v>5405</v>
      </c>
      <c r="T992" s="37"/>
      <c r="V992" s="6">
        <f t="shared" si="215"/>
        <v>0</v>
      </c>
    </row>
    <row r="993" spans="1:22" ht="38.25">
      <c r="A993" s="426">
        <f t="shared" si="214"/>
        <v>87</v>
      </c>
      <c r="B993" s="427" t="s">
        <v>1911</v>
      </c>
      <c r="C993" s="428" t="s">
        <v>1909</v>
      </c>
      <c r="D993" s="426" t="s">
        <v>31</v>
      </c>
      <c r="E993" s="428" t="s">
        <v>109</v>
      </c>
      <c r="F993" s="393" t="s">
        <v>1910</v>
      </c>
      <c r="G993" s="447">
        <v>6160.9361399999998</v>
      </c>
      <c r="H993" s="382"/>
      <c r="I993" s="382"/>
      <c r="J993" s="382"/>
      <c r="K993" s="446">
        <v>6160.9361399999998</v>
      </c>
      <c r="L993" s="374"/>
      <c r="M993" s="512">
        <f t="shared" si="213"/>
        <v>6140</v>
      </c>
      <c r="N993" s="211"/>
      <c r="O993" s="211"/>
      <c r="P993" s="211"/>
      <c r="Q993" s="211"/>
      <c r="R993" s="211"/>
      <c r="S993" s="375">
        <v>6140</v>
      </c>
      <c r="T993" s="37"/>
      <c r="V993" s="6">
        <f t="shared" si="215"/>
        <v>0</v>
      </c>
    </row>
    <row r="994" spans="1:22" ht="25.5">
      <c r="A994" s="426">
        <f t="shared" si="214"/>
        <v>88</v>
      </c>
      <c r="B994" s="427" t="s">
        <v>1912</v>
      </c>
      <c r="C994" s="428" t="s">
        <v>1710</v>
      </c>
      <c r="D994" s="426" t="s">
        <v>31</v>
      </c>
      <c r="E994" s="428" t="s">
        <v>47</v>
      </c>
      <c r="F994" s="393" t="s">
        <v>1913</v>
      </c>
      <c r="G994" s="447">
        <v>779</v>
      </c>
      <c r="H994" s="382"/>
      <c r="I994" s="382"/>
      <c r="J994" s="382"/>
      <c r="K994" s="446">
        <v>779</v>
      </c>
      <c r="L994" s="374"/>
      <c r="M994" s="512">
        <f t="shared" si="213"/>
        <v>779</v>
      </c>
      <c r="N994" s="211"/>
      <c r="O994" s="211"/>
      <c r="P994" s="211"/>
      <c r="Q994" s="211"/>
      <c r="R994" s="211"/>
      <c r="S994" s="375">
        <v>779</v>
      </c>
      <c r="T994" s="37"/>
      <c r="V994" s="6">
        <f t="shared" si="215"/>
        <v>0</v>
      </c>
    </row>
    <row r="995" spans="1:22" ht="25.5">
      <c r="A995" s="426">
        <f t="shared" si="214"/>
        <v>89</v>
      </c>
      <c r="B995" s="429" t="s">
        <v>1914</v>
      </c>
      <c r="C995" s="428" t="s">
        <v>1795</v>
      </c>
      <c r="D995" s="426" t="s">
        <v>31</v>
      </c>
      <c r="E995" s="428" t="s">
        <v>166</v>
      </c>
      <c r="F995" s="393" t="s">
        <v>1915</v>
      </c>
      <c r="G995" s="447">
        <v>1035.1767</v>
      </c>
      <c r="H995" s="382"/>
      <c r="I995" s="382"/>
      <c r="J995" s="382"/>
      <c r="K995" s="446">
        <v>1035.1767</v>
      </c>
      <c r="L995" s="374"/>
      <c r="M995" s="512">
        <f t="shared" si="213"/>
        <v>976</v>
      </c>
      <c r="N995" s="211"/>
      <c r="O995" s="211"/>
      <c r="P995" s="211"/>
      <c r="Q995" s="211"/>
      <c r="R995" s="211"/>
      <c r="S995" s="375">
        <v>976</v>
      </c>
      <c r="T995" s="37"/>
      <c r="V995" s="6">
        <f t="shared" si="215"/>
        <v>0</v>
      </c>
    </row>
    <row r="996" spans="1:22" ht="25.5">
      <c r="A996" s="426">
        <f t="shared" si="214"/>
        <v>90</v>
      </c>
      <c r="B996" s="429" t="s">
        <v>1916</v>
      </c>
      <c r="C996" s="428" t="s">
        <v>1805</v>
      </c>
      <c r="D996" s="426" t="s">
        <v>31</v>
      </c>
      <c r="E996" s="428" t="s">
        <v>166</v>
      </c>
      <c r="F996" s="393" t="s">
        <v>1915</v>
      </c>
      <c r="G996" s="447">
        <v>1595.9804999999999</v>
      </c>
      <c r="H996" s="382"/>
      <c r="I996" s="382"/>
      <c r="J996" s="382"/>
      <c r="K996" s="446">
        <v>1595.9804999999999</v>
      </c>
      <c r="L996" s="374"/>
      <c r="M996" s="512">
        <f t="shared" si="213"/>
        <v>1550</v>
      </c>
      <c r="N996" s="211"/>
      <c r="O996" s="211"/>
      <c r="P996" s="211"/>
      <c r="Q996" s="211"/>
      <c r="R996" s="211"/>
      <c r="S996" s="375">
        <v>1550</v>
      </c>
      <c r="T996" s="37"/>
      <c r="V996" s="6">
        <f t="shared" si="215"/>
        <v>0</v>
      </c>
    </row>
    <row r="997" spans="1:22" ht="30">
      <c r="A997" s="426">
        <f t="shared" si="214"/>
        <v>91</v>
      </c>
      <c r="B997" s="429" t="s">
        <v>1917</v>
      </c>
      <c r="C997" s="428" t="s">
        <v>97</v>
      </c>
      <c r="D997" s="426" t="s">
        <v>31</v>
      </c>
      <c r="E997" s="428" t="s">
        <v>166</v>
      </c>
      <c r="F997" s="401" t="s">
        <v>1918</v>
      </c>
      <c r="G997" s="447">
        <v>3412.7595919999999</v>
      </c>
      <c r="H997" s="396"/>
      <c r="I997" s="396"/>
      <c r="J997" s="396"/>
      <c r="K997" s="447">
        <v>3412.7595919999999</v>
      </c>
      <c r="L997" s="374"/>
      <c r="M997" s="512">
        <f t="shared" si="213"/>
        <v>2996</v>
      </c>
      <c r="N997" s="211"/>
      <c r="O997" s="211"/>
      <c r="P997" s="211"/>
      <c r="Q997" s="211"/>
      <c r="R997" s="211"/>
      <c r="S997" s="375">
        <v>2996</v>
      </c>
      <c r="T997" s="37"/>
      <c r="V997" s="6">
        <f t="shared" si="215"/>
        <v>0</v>
      </c>
    </row>
    <row r="998" spans="1:22" ht="38.25">
      <c r="A998" s="426">
        <f t="shared" si="214"/>
        <v>92</v>
      </c>
      <c r="B998" s="442" t="s">
        <v>1919</v>
      </c>
      <c r="C998" s="428" t="s">
        <v>1837</v>
      </c>
      <c r="D998" s="426" t="s">
        <v>31</v>
      </c>
      <c r="E998" s="428" t="s">
        <v>47</v>
      </c>
      <c r="F998" s="397" t="s">
        <v>1920</v>
      </c>
      <c r="G998" s="400">
        <v>6531</v>
      </c>
      <c r="H998" s="400"/>
      <c r="I998" s="400"/>
      <c r="J998" s="400"/>
      <c r="K998" s="400">
        <v>6531</v>
      </c>
      <c r="L998" s="382"/>
      <c r="M998" s="512">
        <f t="shared" si="213"/>
        <v>6250</v>
      </c>
      <c r="N998" s="211"/>
      <c r="O998" s="211"/>
      <c r="P998" s="211"/>
      <c r="Q998" s="211"/>
      <c r="R998" s="211"/>
      <c r="S998" s="375">
        <v>6250</v>
      </c>
      <c r="T998" s="37"/>
      <c r="V998" s="6">
        <f t="shared" si="215"/>
        <v>0</v>
      </c>
    </row>
    <row r="999" spans="1:22" ht="25.5">
      <c r="A999" s="426">
        <f t="shared" si="214"/>
        <v>93</v>
      </c>
      <c r="B999" s="427" t="s">
        <v>1921</v>
      </c>
      <c r="C999" s="428" t="s">
        <v>1909</v>
      </c>
      <c r="D999" s="426" t="s">
        <v>31</v>
      </c>
      <c r="E999" s="428" t="s">
        <v>47</v>
      </c>
      <c r="F999" s="393" t="s">
        <v>1922</v>
      </c>
      <c r="G999" s="446">
        <v>1698.7960780000001</v>
      </c>
      <c r="H999" s="382"/>
      <c r="I999" s="382"/>
      <c r="J999" s="382"/>
      <c r="K999" s="446">
        <v>1698.7960780000001</v>
      </c>
      <c r="L999" s="382"/>
      <c r="M999" s="512">
        <f t="shared" si="213"/>
        <v>1637</v>
      </c>
      <c r="N999" s="211"/>
      <c r="O999" s="211"/>
      <c r="P999" s="211"/>
      <c r="Q999" s="211"/>
      <c r="R999" s="211"/>
      <c r="S999" s="375">
        <v>1637</v>
      </c>
      <c r="T999" s="37"/>
      <c r="V999" s="6">
        <f t="shared" si="215"/>
        <v>0</v>
      </c>
    </row>
    <row r="1000" spans="1:22" ht="51">
      <c r="A1000" s="426">
        <f t="shared" si="214"/>
        <v>94</v>
      </c>
      <c r="B1000" s="427" t="s">
        <v>1923</v>
      </c>
      <c r="C1000" s="428" t="s">
        <v>1909</v>
      </c>
      <c r="D1000" s="426" t="s">
        <v>31</v>
      </c>
      <c r="E1000" s="428" t="s">
        <v>500</v>
      </c>
      <c r="F1000" s="393" t="s">
        <v>1924</v>
      </c>
      <c r="G1000" s="447">
        <v>5530.508922</v>
      </c>
      <c r="H1000" s="384"/>
      <c r="I1000" s="384"/>
      <c r="J1000" s="384"/>
      <c r="K1000" s="447">
        <v>5530.508922</v>
      </c>
      <c r="L1000" s="382"/>
      <c r="M1000" s="512">
        <f t="shared" si="213"/>
        <v>4872</v>
      </c>
      <c r="N1000" s="211"/>
      <c r="O1000" s="211"/>
      <c r="P1000" s="211"/>
      <c r="Q1000" s="211"/>
      <c r="R1000" s="211"/>
      <c r="S1000" s="375">
        <v>4872</v>
      </c>
      <c r="T1000" s="37"/>
      <c r="V1000" s="6">
        <f t="shared" si="215"/>
        <v>0</v>
      </c>
    </row>
    <row r="1001" spans="1:22" ht="38.25">
      <c r="A1001" s="426">
        <f t="shared" si="214"/>
        <v>95</v>
      </c>
      <c r="B1001" s="430" t="s">
        <v>1925</v>
      </c>
      <c r="C1001" s="428" t="s">
        <v>1776</v>
      </c>
      <c r="D1001" s="432" t="s">
        <v>31</v>
      </c>
      <c r="E1001" s="433" t="s">
        <v>1314</v>
      </c>
      <c r="F1001" s="401" t="s">
        <v>1926</v>
      </c>
      <c r="G1001" s="447">
        <v>1867</v>
      </c>
      <c r="H1001" s="396"/>
      <c r="I1001" s="396"/>
      <c r="J1001" s="396"/>
      <c r="K1001" s="447">
        <v>1867</v>
      </c>
      <c r="L1001" s="382"/>
      <c r="M1001" s="512">
        <f t="shared" si="213"/>
        <v>100</v>
      </c>
      <c r="N1001" s="211"/>
      <c r="O1001" s="211"/>
      <c r="P1001" s="211"/>
      <c r="Q1001" s="211"/>
      <c r="R1001" s="211"/>
      <c r="S1001" s="375">
        <v>100</v>
      </c>
      <c r="T1001" s="37"/>
      <c r="V1001" s="6">
        <f t="shared" si="215"/>
        <v>0</v>
      </c>
    </row>
    <row r="1002" spans="1:22" ht="25.5">
      <c r="A1002" s="426">
        <f t="shared" si="214"/>
        <v>96</v>
      </c>
      <c r="B1002" s="427" t="s">
        <v>1927</v>
      </c>
      <c r="C1002" s="428" t="s">
        <v>1737</v>
      </c>
      <c r="D1002" s="426" t="s">
        <v>31</v>
      </c>
      <c r="E1002" s="428" t="s">
        <v>109</v>
      </c>
      <c r="F1002" s="369" t="s">
        <v>1928</v>
      </c>
      <c r="G1002" s="375">
        <v>7795</v>
      </c>
      <c r="H1002" s="374"/>
      <c r="I1002" s="374"/>
      <c r="J1002" s="374"/>
      <c r="K1002" s="375">
        <v>7795</v>
      </c>
      <c r="L1002" s="374"/>
      <c r="M1002" s="512">
        <f t="shared" si="213"/>
        <v>7122</v>
      </c>
      <c r="N1002" s="211"/>
      <c r="O1002" s="211"/>
      <c r="P1002" s="211"/>
      <c r="Q1002" s="211"/>
      <c r="R1002" s="211"/>
      <c r="S1002" s="375">
        <v>7122</v>
      </c>
      <c r="T1002" s="37"/>
      <c r="V1002" s="6">
        <f t="shared" si="215"/>
        <v>0</v>
      </c>
    </row>
    <row r="1003" spans="1:22" ht="25.5">
      <c r="A1003" s="426">
        <f t="shared" si="214"/>
        <v>97</v>
      </c>
      <c r="B1003" s="427" t="s">
        <v>1929</v>
      </c>
      <c r="C1003" s="428" t="s">
        <v>1744</v>
      </c>
      <c r="D1003" s="426" t="s">
        <v>31</v>
      </c>
      <c r="E1003" s="428" t="s">
        <v>283</v>
      </c>
      <c r="F1003" s="369" t="s">
        <v>1930</v>
      </c>
      <c r="G1003" s="375">
        <v>11186.279802999999</v>
      </c>
      <c r="H1003" s="374"/>
      <c r="I1003" s="374"/>
      <c r="J1003" s="374"/>
      <c r="K1003" s="375">
        <v>11186.279802999999</v>
      </c>
      <c r="L1003" s="374"/>
      <c r="M1003" s="512">
        <f t="shared" si="213"/>
        <v>10500</v>
      </c>
      <c r="N1003" s="211"/>
      <c r="O1003" s="211"/>
      <c r="P1003" s="211"/>
      <c r="Q1003" s="211"/>
      <c r="R1003" s="211"/>
      <c r="S1003" s="375">
        <v>10500</v>
      </c>
      <c r="T1003" s="37"/>
      <c r="V1003" s="6">
        <f t="shared" si="215"/>
        <v>0</v>
      </c>
    </row>
    <row r="1004" spans="1:22" ht="38.25">
      <c r="A1004" s="426">
        <f t="shared" si="214"/>
        <v>98</v>
      </c>
      <c r="B1004" s="427" t="s">
        <v>1931</v>
      </c>
      <c r="C1004" s="428" t="s">
        <v>1776</v>
      </c>
      <c r="D1004" s="426" t="s">
        <v>31</v>
      </c>
      <c r="E1004" s="428" t="s">
        <v>109</v>
      </c>
      <c r="F1004" s="369" t="s">
        <v>1932</v>
      </c>
      <c r="G1004" s="375">
        <v>4636.4639029999998</v>
      </c>
      <c r="H1004" s="374"/>
      <c r="I1004" s="374"/>
      <c r="J1004" s="374"/>
      <c r="K1004" s="375">
        <v>4636.4639029999998</v>
      </c>
      <c r="L1004" s="374"/>
      <c r="M1004" s="512">
        <f t="shared" si="213"/>
        <v>4341</v>
      </c>
      <c r="N1004" s="211"/>
      <c r="O1004" s="211"/>
      <c r="P1004" s="211"/>
      <c r="Q1004" s="211"/>
      <c r="R1004" s="211"/>
      <c r="S1004" s="375">
        <v>4341</v>
      </c>
      <c r="T1004" s="37"/>
      <c r="V1004" s="6">
        <f t="shared" si="215"/>
        <v>0</v>
      </c>
    </row>
    <row r="1005" spans="1:22" ht="30">
      <c r="A1005" s="426">
        <f t="shared" si="214"/>
        <v>99</v>
      </c>
      <c r="B1005" s="429" t="s">
        <v>1933</v>
      </c>
      <c r="C1005" s="428" t="s">
        <v>1805</v>
      </c>
      <c r="D1005" s="426" t="s">
        <v>31</v>
      </c>
      <c r="E1005" s="428" t="s">
        <v>166</v>
      </c>
      <c r="F1005" s="404" t="s">
        <v>1934</v>
      </c>
      <c r="G1005" s="450">
        <v>12900</v>
      </c>
      <c r="H1005" s="405"/>
      <c r="I1005" s="405"/>
      <c r="J1005" s="405"/>
      <c r="K1005" s="375">
        <v>12900</v>
      </c>
      <c r="L1005" s="374"/>
      <c r="M1005" s="512">
        <f t="shared" si="213"/>
        <v>12500</v>
      </c>
      <c r="N1005" s="211"/>
      <c r="O1005" s="211"/>
      <c r="P1005" s="211"/>
      <c r="Q1005" s="211"/>
      <c r="R1005" s="211"/>
      <c r="S1005" s="375">
        <v>12500</v>
      </c>
      <c r="T1005" s="37"/>
      <c r="V1005" s="6">
        <f t="shared" si="215"/>
        <v>0</v>
      </c>
    </row>
    <row r="1006" spans="1:22" ht="30">
      <c r="A1006" s="426">
        <f t="shared" si="214"/>
        <v>100</v>
      </c>
      <c r="B1006" s="430" t="s">
        <v>1935</v>
      </c>
      <c r="C1006" s="428" t="s">
        <v>1776</v>
      </c>
      <c r="D1006" s="432" t="s">
        <v>31</v>
      </c>
      <c r="E1006" s="433" t="s">
        <v>1268</v>
      </c>
      <c r="F1006" s="410" t="s">
        <v>1936</v>
      </c>
      <c r="G1006" s="450">
        <v>4024</v>
      </c>
      <c r="H1006" s="405"/>
      <c r="I1006" s="405"/>
      <c r="J1006" s="405"/>
      <c r="K1006" s="375">
        <v>4024</v>
      </c>
      <c r="L1006" s="374"/>
      <c r="M1006" s="512">
        <f t="shared" si="213"/>
        <v>2929</v>
      </c>
      <c r="N1006" s="211"/>
      <c r="O1006" s="211"/>
      <c r="P1006" s="211"/>
      <c r="Q1006" s="211"/>
      <c r="R1006" s="211"/>
      <c r="S1006" s="375">
        <v>2929</v>
      </c>
      <c r="T1006" s="37"/>
      <c r="V1006" s="6">
        <f t="shared" si="215"/>
        <v>0</v>
      </c>
    </row>
    <row r="1007" spans="1:22" ht="30">
      <c r="A1007" s="426">
        <f t="shared" si="214"/>
        <v>101</v>
      </c>
      <c r="B1007" s="434" t="s">
        <v>1937</v>
      </c>
      <c r="C1007" s="428" t="s">
        <v>1635</v>
      </c>
      <c r="D1007" s="432" t="s">
        <v>31</v>
      </c>
      <c r="E1007" s="433" t="s">
        <v>55</v>
      </c>
      <c r="F1007" s="410" t="s">
        <v>1938</v>
      </c>
      <c r="G1007" s="450">
        <v>9452</v>
      </c>
      <c r="H1007" s="405"/>
      <c r="I1007" s="405"/>
      <c r="J1007" s="405"/>
      <c r="K1007" s="375">
        <v>9452</v>
      </c>
      <c r="L1007" s="374"/>
      <c r="M1007" s="512">
        <f t="shared" si="213"/>
        <v>8000</v>
      </c>
      <c r="N1007" s="211"/>
      <c r="O1007" s="211"/>
      <c r="P1007" s="211"/>
      <c r="Q1007" s="211"/>
      <c r="R1007" s="211"/>
      <c r="S1007" s="375">
        <v>8000</v>
      </c>
      <c r="T1007" s="37"/>
      <c r="V1007" s="6">
        <f t="shared" si="215"/>
        <v>0</v>
      </c>
    </row>
    <row r="1008" spans="1:22" ht="30">
      <c r="A1008" s="373">
        <f t="shared" si="214"/>
        <v>102</v>
      </c>
      <c r="B1008" s="411" t="s">
        <v>1828</v>
      </c>
      <c r="C1008" s="369" t="s">
        <v>1812</v>
      </c>
      <c r="D1008" s="373" t="s">
        <v>31</v>
      </c>
      <c r="E1008" s="369" t="s">
        <v>166</v>
      </c>
      <c r="F1008" s="406" t="s">
        <v>1829</v>
      </c>
      <c r="G1008" s="392">
        <v>4654</v>
      </c>
      <c r="H1008" s="392"/>
      <c r="I1008" s="392"/>
      <c r="J1008" s="392"/>
      <c r="K1008" s="374">
        <f t="shared" ref="K1008:K1009" si="216">G1008</f>
        <v>4654</v>
      </c>
      <c r="L1008" s="374"/>
      <c r="M1008" s="512">
        <f t="shared" ref="M1008:M1009" si="217">SUM(N1008:S1008)</f>
        <v>10</v>
      </c>
      <c r="N1008" s="211"/>
      <c r="O1008" s="211"/>
      <c r="P1008" s="211"/>
      <c r="Q1008" s="211"/>
      <c r="R1008" s="211"/>
      <c r="S1008" s="412">
        <v>10</v>
      </c>
      <c r="T1008" s="37"/>
      <c r="V1008" s="6">
        <f t="shared" si="215"/>
        <v>0</v>
      </c>
    </row>
    <row r="1009" spans="1:22" ht="30">
      <c r="A1009" s="373">
        <f t="shared" si="214"/>
        <v>103</v>
      </c>
      <c r="B1009" s="411" t="s">
        <v>1893</v>
      </c>
      <c r="C1009" s="369" t="s">
        <v>97</v>
      </c>
      <c r="D1009" s="373" t="s">
        <v>31</v>
      </c>
      <c r="E1009" s="369" t="s">
        <v>166</v>
      </c>
      <c r="F1009" s="404" t="s">
        <v>1894</v>
      </c>
      <c r="G1009" s="407">
        <v>12335</v>
      </c>
      <c r="H1009" s="407"/>
      <c r="I1009" s="407"/>
      <c r="J1009" s="407"/>
      <c r="K1009" s="383">
        <f t="shared" si="216"/>
        <v>12335</v>
      </c>
      <c r="L1009" s="383"/>
      <c r="M1009" s="512">
        <f t="shared" si="217"/>
        <v>24</v>
      </c>
      <c r="N1009" s="211"/>
      <c r="O1009" s="211"/>
      <c r="P1009" s="211"/>
      <c r="Q1009" s="211"/>
      <c r="R1009" s="211"/>
      <c r="S1009" s="412">
        <v>24</v>
      </c>
      <c r="T1009" s="37"/>
      <c r="V1009" s="6">
        <f t="shared" si="215"/>
        <v>0</v>
      </c>
    </row>
    <row r="1010" spans="1:22" ht="30">
      <c r="A1010" s="373">
        <f>A1009+1</f>
        <v>104</v>
      </c>
      <c r="B1010" s="413" t="s">
        <v>1939</v>
      </c>
      <c r="C1010" s="369" t="s">
        <v>1657</v>
      </c>
      <c r="D1010" s="373" t="s">
        <v>31</v>
      </c>
      <c r="E1010" s="369" t="s">
        <v>283</v>
      </c>
      <c r="F1010" s="369" t="s">
        <v>1817</v>
      </c>
      <c r="G1010" s="374">
        <v>29083.01138</v>
      </c>
      <c r="H1010" s="374"/>
      <c r="I1010" s="374"/>
      <c r="J1010" s="374"/>
      <c r="K1010" s="374">
        <f>G1010</f>
        <v>29083.01138</v>
      </c>
      <c r="L1010" s="374"/>
      <c r="M1010" s="512">
        <f>SUM(N1010:S1010)</f>
        <v>1355</v>
      </c>
      <c r="N1010" s="211"/>
      <c r="O1010" s="211"/>
      <c r="P1010" s="211"/>
      <c r="Q1010" s="211"/>
      <c r="R1010" s="211"/>
      <c r="S1010" s="412">
        <v>1355</v>
      </c>
      <c r="T1010" s="37"/>
      <c r="V1010" s="6">
        <f t="shared" si="215"/>
        <v>0</v>
      </c>
    </row>
    <row r="1011" spans="1:22" ht="30">
      <c r="A1011" s="373">
        <f t="shared" ref="A1011:A1012" si="218">A1010+1</f>
        <v>105</v>
      </c>
      <c r="B1011" s="413" t="s">
        <v>1940</v>
      </c>
      <c r="C1011" s="451" t="s">
        <v>1837</v>
      </c>
      <c r="D1011" s="426" t="s">
        <v>31</v>
      </c>
      <c r="E1011" s="451" t="s">
        <v>47</v>
      </c>
      <c r="F1011" s="414" t="s">
        <v>1941</v>
      </c>
      <c r="G1011" s="415">
        <v>5605</v>
      </c>
      <c r="H1011" s="407"/>
      <c r="I1011" s="407"/>
      <c r="J1011" s="407"/>
      <c r="K1011" s="415">
        <v>5605</v>
      </c>
      <c r="L1011" s="383"/>
      <c r="M1011" s="512">
        <f t="shared" ref="M1011:M1074" si="219">SUM(N1011:S1011)</f>
        <v>340</v>
      </c>
      <c r="N1011" s="211"/>
      <c r="O1011" s="211"/>
      <c r="P1011" s="211"/>
      <c r="Q1011" s="211"/>
      <c r="R1011" s="211"/>
      <c r="S1011" s="412">
        <v>340</v>
      </c>
      <c r="T1011" s="37"/>
      <c r="V1011" s="6">
        <f t="shared" si="215"/>
        <v>0</v>
      </c>
    </row>
    <row r="1012" spans="1:22" ht="30">
      <c r="A1012" s="373">
        <f t="shared" si="218"/>
        <v>106</v>
      </c>
      <c r="B1012" s="413" t="s">
        <v>1942</v>
      </c>
      <c r="C1012" s="432" t="s">
        <v>1654</v>
      </c>
      <c r="D1012" s="426" t="s">
        <v>31</v>
      </c>
      <c r="E1012" s="432" t="s">
        <v>454</v>
      </c>
      <c r="F1012" s="414" t="s">
        <v>1943</v>
      </c>
      <c r="G1012" s="415">
        <v>833</v>
      </c>
      <c r="H1012" s="407"/>
      <c r="I1012" s="407"/>
      <c r="J1012" s="407"/>
      <c r="K1012" s="415">
        <v>833</v>
      </c>
      <c r="L1012" s="383"/>
      <c r="M1012" s="512">
        <f t="shared" si="219"/>
        <v>30</v>
      </c>
      <c r="N1012" s="211"/>
      <c r="O1012" s="211"/>
      <c r="P1012" s="211"/>
      <c r="Q1012" s="211"/>
      <c r="R1012" s="211"/>
      <c r="S1012" s="412">
        <v>30</v>
      </c>
      <c r="T1012" s="37"/>
      <c r="V1012" s="6">
        <f t="shared" si="215"/>
        <v>0</v>
      </c>
    </row>
    <row r="1013" spans="1:22" s="224" customFormat="1" ht="38.25" customHeight="1">
      <c r="A1013" s="468" t="s">
        <v>596</v>
      </c>
      <c r="B1013" s="523" t="s">
        <v>1944</v>
      </c>
      <c r="C1013" s="524"/>
      <c r="D1013" s="524"/>
      <c r="E1013" s="524"/>
      <c r="F1013" s="524"/>
      <c r="G1013" s="553">
        <f>G1014+G1037</f>
        <v>934127</v>
      </c>
      <c r="H1013" s="553"/>
      <c r="I1013" s="553"/>
      <c r="J1013" s="553"/>
      <c r="K1013" s="553">
        <f t="shared" ref="K1013" si="220">K1014+K1037</f>
        <v>934127</v>
      </c>
      <c r="L1013" s="524"/>
      <c r="M1013" s="554">
        <f t="shared" si="219"/>
        <v>447821</v>
      </c>
      <c r="N1013" s="555"/>
      <c r="O1013" s="555"/>
      <c r="P1013" s="555"/>
      <c r="Q1013" s="555"/>
      <c r="R1013" s="555"/>
      <c r="S1013" s="556">
        <f t="shared" ref="S1013" si="221">S1014+S1037</f>
        <v>447821</v>
      </c>
      <c r="T1013" s="527"/>
      <c r="V1013" s="6">
        <f t="shared" si="215"/>
        <v>0</v>
      </c>
    </row>
    <row r="1014" spans="1:22" s="26" customFormat="1" ht="27.75" customHeight="1">
      <c r="A1014" s="356" t="s">
        <v>37</v>
      </c>
      <c r="B1014" s="557" t="s">
        <v>1258</v>
      </c>
      <c r="C1014" s="359"/>
      <c r="D1014" s="359"/>
      <c r="E1014" s="558"/>
      <c r="F1014" s="364"/>
      <c r="G1014" s="365">
        <f>SUM(G1015:G1036)</f>
        <v>187855</v>
      </c>
      <c r="H1014" s="365"/>
      <c r="I1014" s="365"/>
      <c r="J1014" s="365"/>
      <c r="K1014" s="365">
        <f t="shared" ref="K1014" si="222">SUM(K1015:K1036)</f>
        <v>187855</v>
      </c>
      <c r="L1014" s="365"/>
      <c r="M1014" s="540">
        <f t="shared" si="219"/>
        <v>8214</v>
      </c>
      <c r="N1014" s="211"/>
      <c r="O1014" s="211"/>
      <c r="P1014" s="211"/>
      <c r="Q1014" s="211"/>
      <c r="R1014" s="211"/>
      <c r="S1014" s="362">
        <f t="shared" ref="S1014" si="223">SUM(S1015:S1036)</f>
        <v>8214</v>
      </c>
      <c r="T1014" s="23"/>
      <c r="V1014" s="6">
        <f t="shared" si="215"/>
        <v>0</v>
      </c>
    </row>
    <row r="1015" spans="1:22" s="26" customFormat="1" ht="30">
      <c r="A1015" s="513">
        <v>1</v>
      </c>
      <c r="B1015" s="514" t="s">
        <v>1945</v>
      </c>
      <c r="C1015" s="515" t="s">
        <v>1946</v>
      </c>
      <c r="D1015" s="513" t="s">
        <v>1684</v>
      </c>
      <c r="E1015" s="513" t="s">
        <v>1314</v>
      </c>
      <c r="F1015" s="516" t="s">
        <v>1947</v>
      </c>
      <c r="G1015" s="517">
        <v>401</v>
      </c>
      <c r="H1015" s="518"/>
      <c r="I1015" s="518"/>
      <c r="J1015" s="518"/>
      <c r="K1015" s="517">
        <f t="shared" ref="K1015:K1036" si="224">G1015</f>
        <v>401</v>
      </c>
      <c r="L1015" s="518"/>
      <c r="M1015" s="519">
        <f t="shared" si="219"/>
        <v>401</v>
      </c>
      <c r="N1015" s="520"/>
      <c r="O1015" s="17"/>
      <c r="P1015" s="17"/>
      <c r="Q1015" s="17"/>
      <c r="R1015" s="17"/>
      <c r="S1015" s="519">
        <v>401</v>
      </c>
      <c r="T1015" s="278"/>
      <c r="V1015" s="6">
        <f t="shared" si="215"/>
        <v>0</v>
      </c>
    </row>
    <row r="1016" spans="1:22" s="26" customFormat="1" ht="60">
      <c r="A1016" s="513">
        <v>2</v>
      </c>
      <c r="B1016" s="514" t="s">
        <v>1948</v>
      </c>
      <c r="C1016" s="515" t="s">
        <v>1949</v>
      </c>
      <c r="D1016" s="513" t="s">
        <v>1684</v>
      </c>
      <c r="E1016" s="513" t="s">
        <v>55</v>
      </c>
      <c r="F1016" s="516" t="s">
        <v>1950</v>
      </c>
      <c r="G1016" s="517">
        <v>2949</v>
      </c>
      <c r="H1016" s="518"/>
      <c r="I1016" s="518"/>
      <c r="J1016" s="518"/>
      <c r="K1016" s="517">
        <f t="shared" si="224"/>
        <v>2949</v>
      </c>
      <c r="L1016" s="518"/>
      <c r="M1016" s="519">
        <f t="shared" si="219"/>
        <v>2337</v>
      </c>
      <c r="N1016" s="520"/>
      <c r="O1016" s="17"/>
      <c r="P1016" s="17"/>
      <c r="Q1016" s="17"/>
      <c r="R1016" s="17"/>
      <c r="S1016" s="519">
        <v>2337</v>
      </c>
      <c r="T1016" s="278"/>
      <c r="V1016" s="6">
        <f t="shared" si="215"/>
        <v>0</v>
      </c>
    </row>
    <row r="1017" spans="1:22" s="26" customFormat="1" ht="30">
      <c r="A1017" s="513">
        <v>3</v>
      </c>
      <c r="B1017" s="514" t="s">
        <v>1951</v>
      </c>
      <c r="C1017" s="515" t="s">
        <v>1952</v>
      </c>
      <c r="D1017" s="513" t="s">
        <v>1684</v>
      </c>
      <c r="E1017" s="513" t="s">
        <v>1314</v>
      </c>
      <c r="F1017" s="516" t="s">
        <v>1953</v>
      </c>
      <c r="G1017" s="517">
        <v>19999</v>
      </c>
      <c r="H1017" s="518"/>
      <c r="I1017" s="518"/>
      <c r="J1017" s="518"/>
      <c r="K1017" s="517">
        <f t="shared" si="224"/>
        <v>19999</v>
      </c>
      <c r="L1017" s="518"/>
      <c r="M1017" s="519">
        <f t="shared" si="219"/>
        <v>974</v>
      </c>
      <c r="N1017" s="520"/>
      <c r="O1017" s="17"/>
      <c r="P1017" s="17"/>
      <c r="Q1017" s="17"/>
      <c r="R1017" s="17"/>
      <c r="S1017" s="519">
        <v>974</v>
      </c>
      <c r="T1017" s="278"/>
      <c r="V1017" s="6">
        <f t="shared" si="215"/>
        <v>0</v>
      </c>
    </row>
    <row r="1018" spans="1:22" s="26" customFormat="1" ht="30">
      <c r="A1018" s="513">
        <v>4</v>
      </c>
      <c r="B1018" s="514" t="s">
        <v>1954</v>
      </c>
      <c r="C1018" s="515" t="s">
        <v>1955</v>
      </c>
      <c r="D1018" s="513" t="s">
        <v>1684</v>
      </c>
      <c r="E1018" s="513" t="s">
        <v>1314</v>
      </c>
      <c r="F1018" s="516" t="s">
        <v>1953</v>
      </c>
      <c r="G1018" s="517">
        <v>1100</v>
      </c>
      <c r="H1018" s="518"/>
      <c r="I1018" s="518"/>
      <c r="J1018" s="518"/>
      <c r="K1018" s="517">
        <f t="shared" si="224"/>
        <v>1100</v>
      </c>
      <c r="L1018" s="518"/>
      <c r="M1018" s="519">
        <f t="shared" si="219"/>
        <v>70</v>
      </c>
      <c r="N1018" s="520"/>
      <c r="O1018" s="17"/>
      <c r="P1018" s="17"/>
      <c r="Q1018" s="17"/>
      <c r="R1018" s="17"/>
      <c r="S1018" s="519">
        <v>70</v>
      </c>
      <c r="T1018" s="278"/>
      <c r="V1018" s="6">
        <f t="shared" si="215"/>
        <v>0</v>
      </c>
    </row>
    <row r="1019" spans="1:22" s="26" customFormat="1" ht="30">
      <c r="A1019" s="513">
        <v>5</v>
      </c>
      <c r="B1019" s="514" t="s">
        <v>1956</v>
      </c>
      <c r="C1019" s="515" t="s">
        <v>1946</v>
      </c>
      <c r="D1019" s="513" t="s">
        <v>1684</v>
      </c>
      <c r="E1019" s="513" t="s">
        <v>1314</v>
      </c>
      <c r="F1019" s="516" t="s">
        <v>1953</v>
      </c>
      <c r="G1019" s="517">
        <v>18000</v>
      </c>
      <c r="H1019" s="518"/>
      <c r="I1019" s="518"/>
      <c r="J1019" s="518"/>
      <c r="K1019" s="517">
        <f t="shared" si="224"/>
        <v>18000</v>
      </c>
      <c r="L1019" s="518"/>
      <c r="M1019" s="519">
        <f t="shared" si="219"/>
        <v>70</v>
      </c>
      <c r="N1019" s="520"/>
      <c r="O1019" s="17"/>
      <c r="P1019" s="17"/>
      <c r="Q1019" s="17"/>
      <c r="R1019" s="17"/>
      <c r="S1019" s="519">
        <v>70</v>
      </c>
      <c r="T1019" s="278"/>
      <c r="V1019" s="6">
        <f t="shared" si="215"/>
        <v>0</v>
      </c>
    </row>
    <row r="1020" spans="1:22" s="26" customFormat="1" ht="45">
      <c r="A1020" s="513">
        <v>6</v>
      </c>
      <c r="B1020" s="514" t="s">
        <v>1957</v>
      </c>
      <c r="C1020" s="515" t="s">
        <v>1958</v>
      </c>
      <c r="D1020" s="513" t="s">
        <v>1684</v>
      </c>
      <c r="E1020" s="513" t="s">
        <v>1314</v>
      </c>
      <c r="F1020" s="516" t="s">
        <v>1953</v>
      </c>
      <c r="G1020" s="517">
        <v>1100</v>
      </c>
      <c r="H1020" s="518"/>
      <c r="I1020" s="518"/>
      <c r="J1020" s="518"/>
      <c r="K1020" s="517">
        <f t="shared" si="224"/>
        <v>1100</v>
      </c>
      <c r="L1020" s="518"/>
      <c r="M1020" s="519">
        <f t="shared" si="219"/>
        <v>70</v>
      </c>
      <c r="N1020" s="520"/>
      <c r="O1020" s="17"/>
      <c r="P1020" s="17"/>
      <c r="Q1020" s="17"/>
      <c r="R1020" s="17"/>
      <c r="S1020" s="519">
        <v>70</v>
      </c>
      <c r="T1020" s="278"/>
      <c r="V1020" s="6">
        <f t="shared" si="215"/>
        <v>0</v>
      </c>
    </row>
    <row r="1021" spans="1:22" s="26" customFormat="1" ht="30">
      <c r="A1021" s="513">
        <v>7</v>
      </c>
      <c r="B1021" s="514" t="s">
        <v>1959</v>
      </c>
      <c r="C1021" s="515" t="s">
        <v>1952</v>
      </c>
      <c r="D1021" s="513" t="s">
        <v>1684</v>
      </c>
      <c r="E1021" s="513" t="s">
        <v>1314</v>
      </c>
      <c r="F1021" s="516" t="s">
        <v>1953</v>
      </c>
      <c r="G1021" s="517">
        <v>14200</v>
      </c>
      <c r="H1021" s="518"/>
      <c r="I1021" s="518"/>
      <c r="J1021" s="518"/>
      <c r="K1021" s="517">
        <f t="shared" si="224"/>
        <v>14200</v>
      </c>
      <c r="L1021" s="518"/>
      <c r="M1021" s="519">
        <f t="shared" si="219"/>
        <v>200</v>
      </c>
      <c r="N1021" s="520"/>
      <c r="O1021" s="17"/>
      <c r="P1021" s="17"/>
      <c r="Q1021" s="17"/>
      <c r="R1021" s="17"/>
      <c r="S1021" s="519">
        <v>200</v>
      </c>
      <c r="T1021" s="278"/>
      <c r="V1021" s="6">
        <f t="shared" si="215"/>
        <v>0</v>
      </c>
    </row>
    <row r="1022" spans="1:22" s="26" customFormat="1" ht="30">
      <c r="A1022" s="513">
        <v>8</v>
      </c>
      <c r="B1022" s="514" t="s">
        <v>1960</v>
      </c>
      <c r="C1022" s="515" t="s">
        <v>1961</v>
      </c>
      <c r="D1022" s="513" t="s">
        <v>1684</v>
      </c>
      <c r="E1022" s="513" t="s">
        <v>1314</v>
      </c>
      <c r="F1022" s="516" t="s">
        <v>1953</v>
      </c>
      <c r="G1022" s="517">
        <v>15000</v>
      </c>
      <c r="H1022" s="518"/>
      <c r="I1022" s="518"/>
      <c r="J1022" s="518"/>
      <c r="K1022" s="517">
        <f t="shared" si="224"/>
        <v>15000</v>
      </c>
      <c r="L1022" s="518"/>
      <c r="M1022" s="519">
        <f t="shared" si="219"/>
        <v>250</v>
      </c>
      <c r="N1022" s="520"/>
      <c r="O1022" s="17"/>
      <c r="P1022" s="17"/>
      <c r="Q1022" s="17"/>
      <c r="R1022" s="17"/>
      <c r="S1022" s="519">
        <v>250</v>
      </c>
      <c r="T1022" s="278"/>
      <c r="V1022" s="6">
        <f t="shared" si="215"/>
        <v>0</v>
      </c>
    </row>
    <row r="1023" spans="1:22" s="26" customFormat="1" ht="30">
      <c r="A1023" s="513">
        <v>9</v>
      </c>
      <c r="B1023" s="514" t="s">
        <v>1962</v>
      </c>
      <c r="C1023" s="515" t="s">
        <v>1955</v>
      </c>
      <c r="D1023" s="513" t="s">
        <v>1684</v>
      </c>
      <c r="E1023" s="513" t="s">
        <v>1314</v>
      </c>
      <c r="F1023" s="516" t="s">
        <v>1953</v>
      </c>
      <c r="G1023" s="517">
        <v>15000</v>
      </c>
      <c r="H1023" s="518"/>
      <c r="I1023" s="518"/>
      <c r="J1023" s="518"/>
      <c r="K1023" s="517">
        <f t="shared" si="224"/>
        <v>15000</v>
      </c>
      <c r="L1023" s="518"/>
      <c r="M1023" s="519">
        <f t="shared" si="219"/>
        <v>250</v>
      </c>
      <c r="N1023" s="520"/>
      <c r="O1023" s="17"/>
      <c r="P1023" s="17"/>
      <c r="Q1023" s="17"/>
      <c r="R1023" s="17"/>
      <c r="S1023" s="519">
        <v>250</v>
      </c>
      <c r="T1023" s="278"/>
      <c r="V1023" s="6">
        <f t="shared" si="215"/>
        <v>0</v>
      </c>
    </row>
    <row r="1024" spans="1:22" s="26" customFormat="1" ht="30">
      <c r="A1024" s="513">
        <v>10</v>
      </c>
      <c r="B1024" s="514" t="s">
        <v>1963</v>
      </c>
      <c r="C1024" s="515" t="s">
        <v>1955</v>
      </c>
      <c r="D1024" s="513" t="s">
        <v>1684</v>
      </c>
      <c r="E1024" s="513" t="s">
        <v>1314</v>
      </c>
      <c r="F1024" s="516" t="s">
        <v>1953</v>
      </c>
      <c r="G1024" s="517">
        <v>10000</v>
      </c>
      <c r="H1024" s="518"/>
      <c r="I1024" s="518"/>
      <c r="J1024" s="518"/>
      <c r="K1024" s="517">
        <f t="shared" si="224"/>
        <v>10000</v>
      </c>
      <c r="L1024" s="518"/>
      <c r="M1024" s="519">
        <f t="shared" si="219"/>
        <v>150</v>
      </c>
      <c r="N1024" s="520"/>
      <c r="O1024" s="17"/>
      <c r="P1024" s="17"/>
      <c r="Q1024" s="17"/>
      <c r="R1024" s="17"/>
      <c r="S1024" s="519">
        <v>150</v>
      </c>
      <c r="T1024" s="278"/>
      <c r="V1024" s="6">
        <f t="shared" si="215"/>
        <v>0</v>
      </c>
    </row>
    <row r="1025" spans="1:22" s="26" customFormat="1" ht="30">
      <c r="A1025" s="513">
        <v>11</v>
      </c>
      <c r="B1025" s="514" t="s">
        <v>1964</v>
      </c>
      <c r="C1025" s="515" t="s">
        <v>1955</v>
      </c>
      <c r="D1025" s="513" t="s">
        <v>1684</v>
      </c>
      <c r="E1025" s="513" t="s">
        <v>1314</v>
      </c>
      <c r="F1025" s="516" t="s">
        <v>1953</v>
      </c>
      <c r="G1025" s="517">
        <v>10300</v>
      </c>
      <c r="H1025" s="518"/>
      <c r="I1025" s="518"/>
      <c r="J1025" s="518"/>
      <c r="K1025" s="517">
        <f t="shared" si="224"/>
        <v>10300</v>
      </c>
      <c r="L1025" s="518"/>
      <c r="M1025" s="519">
        <f t="shared" si="219"/>
        <v>150</v>
      </c>
      <c r="N1025" s="520"/>
      <c r="O1025" s="17"/>
      <c r="P1025" s="17"/>
      <c r="Q1025" s="17"/>
      <c r="R1025" s="17"/>
      <c r="S1025" s="519">
        <v>150</v>
      </c>
      <c r="T1025" s="278"/>
      <c r="V1025" s="6">
        <f t="shared" si="215"/>
        <v>0</v>
      </c>
    </row>
    <row r="1026" spans="1:22" s="26" customFormat="1" ht="30">
      <c r="A1026" s="513">
        <v>12</v>
      </c>
      <c r="B1026" s="514" t="s">
        <v>1965</v>
      </c>
      <c r="C1026" s="515" t="s">
        <v>1966</v>
      </c>
      <c r="D1026" s="513" t="s">
        <v>1684</v>
      </c>
      <c r="E1026" s="513" t="s">
        <v>1314</v>
      </c>
      <c r="F1026" s="516" t="s">
        <v>1953</v>
      </c>
      <c r="G1026" s="517">
        <v>1100</v>
      </c>
      <c r="H1026" s="518"/>
      <c r="I1026" s="518"/>
      <c r="J1026" s="518"/>
      <c r="K1026" s="517">
        <f t="shared" si="224"/>
        <v>1100</v>
      </c>
      <c r="L1026" s="518"/>
      <c r="M1026" s="519">
        <f t="shared" si="219"/>
        <v>70</v>
      </c>
      <c r="N1026" s="520"/>
      <c r="O1026" s="17"/>
      <c r="P1026" s="17"/>
      <c r="Q1026" s="17"/>
      <c r="R1026" s="17"/>
      <c r="S1026" s="519">
        <v>70</v>
      </c>
      <c r="T1026" s="278"/>
      <c r="V1026" s="6">
        <f t="shared" si="215"/>
        <v>0</v>
      </c>
    </row>
    <row r="1027" spans="1:22" s="26" customFormat="1" ht="30">
      <c r="A1027" s="513">
        <v>13</v>
      </c>
      <c r="B1027" s="514" t="s">
        <v>1967</v>
      </c>
      <c r="C1027" s="515" t="s">
        <v>1946</v>
      </c>
      <c r="D1027" s="513" t="s">
        <v>1684</v>
      </c>
      <c r="E1027" s="513" t="s">
        <v>1314</v>
      </c>
      <c r="F1027" s="516" t="s">
        <v>1953</v>
      </c>
      <c r="G1027" s="517">
        <v>14900</v>
      </c>
      <c r="H1027" s="518"/>
      <c r="I1027" s="518"/>
      <c r="J1027" s="518"/>
      <c r="K1027" s="517">
        <f t="shared" si="224"/>
        <v>14900</v>
      </c>
      <c r="L1027" s="518"/>
      <c r="M1027" s="519">
        <f t="shared" si="219"/>
        <v>150</v>
      </c>
      <c r="N1027" s="520"/>
      <c r="O1027" s="17"/>
      <c r="P1027" s="17"/>
      <c r="Q1027" s="17"/>
      <c r="R1027" s="17"/>
      <c r="S1027" s="519">
        <v>150</v>
      </c>
      <c r="T1027" s="278"/>
      <c r="V1027" s="6">
        <f t="shared" si="215"/>
        <v>0</v>
      </c>
    </row>
    <row r="1028" spans="1:22" s="26" customFormat="1" ht="30">
      <c r="A1028" s="513">
        <v>14</v>
      </c>
      <c r="B1028" s="514" t="s">
        <v>1968</v>
      </c>
      <c r="C1028" s="515" t="s">
        <v>1946</v>
      </c>
      <c r="D1028" s="513" t="s">
        <v>1684</v>
      </c>
      <c r="E1028" s="513" t="s">
        <v>1314</v>
      </c>
      <c r="F1028" s="516" t="s">
        <v>1953</v>
      </c>
      <c r="G1028" s="517">
        <v>1200</v>
      </c>
      <c r="H1028" s="518"/>
      <c r="I1028" s="518"/>
      <c r="J1028" s="518"/>
      <c r="K1028" s="517">
        <f t="shared" si="224"/>
        <v>1200</v>
      </c>
      <c r="L1028" s="518"/>
      <c r="M1028" s="519">
        <f t="shared" si="219"/>
        <v>70</v>
      </c>
      <c r="N1028" s="520"/>
      <c r="O1028" s="17"/>
      <c r="P1028" s="17"/>
      <c r="Q1028" s="17"/>
      <c r="R1028" s="17"/>
      <c r="S1028" s="519">
        <v>70</v>
      </c>
      <c r="T1028" s="278"/>
      <c r="V1028" s="6">
        <f t="shared" si="215"/>
        <v>0</v>
      </c>
    </row>
    <row r="1029" spans="1:22" s="26" customFormat="1">
      <c r="A1029" s="513">
        <v>15</v>
      </c>
      <c r="B1029" s="514" t="s">
        <v>1969</v>
      </c>
      <c r="C1029" s="515" t="s">
        <v>1970</v>
      </c>
      <c r="D1029" s="513" t="s">
        <v>1684</v>
      </c>
      <c r="E1029" s="513" t="s">
        <v>1314</v>
      </c>
      <c r="F1029" s="516" t="s">
        <v>1953</v>
      </c>
      <c r="G1029" s="517">
        <v>4300</v>
      </c>
      <c r="H1029" s="518"/>
      <c r="I1029" s="518"/>
      <c r="J1029" s="518"/>
      <c r="K1029" s="517">
        <f t="shared" si="224"/>
        <v>4300</v>
      </c>
      <c r="L1029" s="518"/>
      <c r="M1029" s="519">
        <f t="shared" si="219"/>
        <v>100</v>
      </c>
      <c r="N1029" s="520"/>
      <c r="O1029" s="17"/>
      <c r="P1029" s="17"/>
      <c r="Q1029" s="17"/>
      <c r="R1029" s="17"/>
      <c r="S1029" s="519">
        <v>100</v>
      </c>
      <c r="T1029" s="278"/>
      <c r="V1029" s="6">
        <f t="shared" si="215"/>
        <v>0</v>
      </c>
    </row>
    <row r="1030" spans="1:22" s="26" customFormat="1" ht="30">
      <c r="A1030" s="513">
        <v>16</v>
      </c>
      <c r="B1030" s="514" t="s">
        <v>1971</v>
      </c>
      <c r="C1030" s="515" t="s">
        <v>1946</v>
      </c>
      <c r="D1030" s="513" t="s">
        <v>1684</v>
      </c>
      <c r="E1030" s="513" t="s">
        <v>1314</v>
      </c>
      <c r="F1030" s="516" t="s">
        <v>1953</v>
      </c>
      <c r="G1030" s="517">
        <v>1100</v>
      </c>
      <c r="H1030" s="518"/>
      <c r="I1030" s="518"/>
      <c r="J1030" s="518"/>
      <c r="K1030" s="517">
        <f t="shared" si="224"/>
        <v>1100</v>
      </c>
      <c r="L1030" s="518"/>
      <c r="M1030" s="519">
        <f t="shared" si="219"/>
        <v>70</v>
      </c>
      <c r="N1030" s="520"/>
      <c r="O1030" s="17"/>
      <c r="P1030" s="17"/>
      <c r="Q1030" s="17"/>
      <c r="R1030" s="17"/>
      <c r="S1030" s="519">
        <v>70</v>
      </c>
      <c r="T1030" s="278"/>
      <c r="V1030" s="6">
        <f t="shared" si="215"/>
        <v>0</v>
      </c>
    </row>
    <row r="1031" spans="1:22" s="26" customFormat="1" ht="30">
      <c r="A1031" s="513">
        <v>17</v>
      </c>
      <c r="B1031" s="514" t="s">
        <v>1972</v>
      </c>
      <c r="C1031" s="515" t="s">
        <v>1946</v>
      </c>
      <c r="D1031" s="513" t="s">
        <v>1684</v>
      </c>
      <c r="E1031" s="513" t="s">
        <v>1314</v>
      </c>
      <c r="F1031" s="516" t="s">
        <v>1953</v>
      </c>
      <c r="G1031" s="517">
        <v>1100</v>
      </c>
      <c r="H1031" s="518"/>
      <c r="I1031" s="518"/>
      <c r="J1031" s="518"/>
      <c r="K1031" s="517">
        <f t="shared" si="224"/>
        <v>1100</v>
      </c>
      <c r="L1031" s="518"/>
      <c r="M1031" s="519">
        <f t="shared" si="219"/>
        <v>70</v>
      </c>
      <c r="N1031" s="520"/>
      <c r="O1031" s="17"/>
      <c r="P1031" s="17"/>
      <c r="Q1031" s="17"/>
      <c r="R1031" s="17"/>
      <c r="S1031" s="519">
        <v>70</v>
      </c>
      <c r="T1031" s="278"/>
      <c r="V1031" s="6">
        <f t="shared" si="215"/>
        <v>0</v>
      </c>
    </row>
    <row r="1032" spans="1:22" s="26" customFormat="1" ht="30">
      <c r="A1032" s="513">
        <v>18</v>
      </c>
      <c r="B1032" s="514" t="s">
        <v>1973</v>
      </c>
      <c r="C1032" s="515" t="s">
        <v>1974</v>
      </c>
      <c r="D1032" s="513" t="s">
        <v>1684</v>
      </c>
      <c r="E1032" s="513" t="s">
        <v>1314</v>
      </c>
      <c r="F1032" s="516" t="s">
        <v>1975</v>
      </c>
      <c r="G1032" s="517">
        <v>14996</v>
      </c>
      <c r="H1032" s="518"/>
      <c r="I1032" s="518"/>
      <c r="J1032" s="518"/>
      <c r="K1032" s="517">
        <f t="shared" si="224"/>
        <v>14996</v>
      </c>
      <c r="L1032" s="518"/>
      <c r="M1032" s="519">
        <f t="shared" si="219"/>
        <v>710</v>
      </c>
      <c r="N1032" s="520"/>
      <c r="O1032" s="17"/>
      <c r="P1032" s="17"/>
      <c r="Q1032" s="17"/>
      <c r="R1032" s="17"/>
      <c r="S1032" s="519">
        <v>710</v>
      </c>
      <c r="T1032" s="278"/>
      <c r="V1032" s="6">
        <f t="shared" si="215"/>
        <v>0</v>
      </c>
    </row>
    <row r="1033" spans="1:22" s="26" customFormat="1" ht="30">
      <c r="A1033" s="513">
        <v>19</v>
      </c>
      <c r="B1033" s="514" t="s">
        <v>1976</v>
      </c>
      <c r="C1033" s="515" t="s">
        <v>1974</v>
      </c>
      <c r="D1033" s="513" t="s">
        <v>1684</v>
      </c>
      <c r="E1033" s="513" t="s">
        <v>1314</v>
      </c>
      <c r="F1033" s="516" t="s">
        <v>1975</v>
      </c>
      <c r="G1033" s="517">
        <v>13810</v>
      </c>
      <c r="H1033" s="518"/>
      <c r="I1033" s="518"/>
      <c r="J1033" s="518"/>
      <c r="K1033" s="517">
        <f t="shared" si="224"/>
        <v>13810</v>
      </c>
      <c r="L1033" s="518"/>
      <c r="M1033" s="519">
        <f t="shared" si="219"/>
        <v>670</v>
      </c>
      <c r="N1033" s="520"/>
      <c r="O1033" s="17"/>
      <c r="P1033" s="17"/>
      <c r="Q1033" s="17"/>
      <c r="R1033" s="17"/>
      <c r="S1033" s="519">
        <v>670</v>
      </c>
      <c r="T1033" s="278"/>
      <c r="V1033" s="6">
        <f t="shared" si="215"/>
        <v>0</v>
      </c>
    </row>
    <row r="1034" spans="1:22" s="26" customFormat="1">
      <c r="A1034" s="513">
        <v>20</v>
      </c>
      <c r="B1034" s="514" t="s">
        <v>1977</v>
      </c>
      <c r="C1034" s="515" t="s">
        <v>1958</v>
      </c>
      <c r="D1034" s="513" t="s">
        <v>1684</v>
      </c>
      <c r="E1034" s="513" t="s">
        <v>1314</v>
      </c>
      <c r="F1034" s="516" t="s">
        <v>1975</v>
      </c>
      <c r="G1034" s="517">
        <v>12916</v>
      </c>
      <c r="H1034" s="518"/>
      <c r="I1034" s="518"/>
      <c r="J1034" s="518"/>
      <c r="K1034" s="517">
        <f t="shared" si="224"/>
        <v>12916</v>
      </c>
      <c r="L1034" s="518"/>
      <c r="M1034" s="519">
        <f t="shared" si="219"/>
        <v>660</v>
      </c>
      <c r="N1034" s="520"/>
      <c r="O1034" s="17"/>
      <c r="P1034" s="17"/>
      <c r="Q1034" s="17"/>
      <c r="R1034" s="17"/>
      <c r="S1034" s="519">
        <v>660</v>
      </c>
      <c r="T1034" s="278"/>
      <c r="V1034" s="6">
        <f t="shared" si="215"/>
        <v>0</v>
      </c>
    </row>
    <row r="1035" spans="1:22" s="26" customFormat="1">
      <c r="A1035" s="513">
        <v>21</v>
      </c>
      <c r="B1035" s="514" t="s">
        <v>1978</v>
      </c>
      <c r="C1035" s="515" t="s">
        <v>1958</v>
      </c>
      <c r="D1035" s="513" t="s">
        <v>1684</v>
      </c>
      <c r="E1035" s="513" t="s">
        <v>1314</v>
      </c>
      <c r="F1035" s="516" t="s">
        <v>1975</v>
      </c>
      <c r="G1035" s="517">
        <v>11384</v>
      </c>
      <c r="H1035" s="518"/>
      <c r="I1035" s="518"/>
      <c r="J1035" s="518"/>
      <c r="K1035" s="517">
        <f t="shared" si="224"/>
        <v>11384</v>
      </c>
      <c r="L1035" s="518"/>
      <c r="M1035" s="519">
        <f t="shared" si="219"/>
        <v>622</v>
      </c>
      <c r="N1035" s="520"/>
      <c r="O1035" s="17"/>
      <c r="P1035" s="17"/>
      <c r="Q1035" s="17"/>
      <c r="R1035" s="17"/>
      <c r="S1035" s="519">
        <v>622</v>
      </c>
      <c r="T1035" s="278"/>
      <c r="V1035" s="6">
        <f t="shared" si="215"/>
        <v>0</v>
      </c>
    </row>
    <row r="1036" spans="1:22" s="26" customFormat="1">
      <c r="A1036" s="513">
        <v>22</v>
      </c>
      <c r="B1036" s="514" t="s">
        <v>1979</v>
      </c>
      <c r="C1036" s="515" t="s">
        <v>1980</v>
      </c>
      <c r="D1036" s="513" t="s">
        <v>1684</v>
      </c>
      <c r="E1036" s="513" t="s">
        <v>1314</v>
      </c>
      <c r="F1036" s="516" t="s">
        <v>1953</v>
      </c>
      <c r="G1036" s="517">
        <v>3000</v>
      </c>
      <c r="H1036" s="518"/>
      <c r="I1036" s="518"/>
      <c r="J1036" s="518"/>
      <c r="K1036" s="517">
        <f t="shared" si="224"/>
        <v>3000</v>
      </c>
      <c r="L1036" s="518"/>
      <c r="M1036" s="519">
        <f t="shared" si="219"/>
        <v>100</v>
      </c>
      <c r="N1036" s="520"/>
      <c r="O1036" s="17"/>
      <c r="P1036" s="17"/>
      <c r="Q1036" s="17"/>
      <c r="R1036" s="17"/>
      <c r="S1036" s="519">
        <v>100</v>
      </c>
      <c r="T1036" s="278"/>
      <c r="V1036" s="6">
        <f t="shared" si="215"/>
        <v>0</v>
      </c>
    </row>
    <row r="1037" spans="1:22" s="26" customFormat="1" ht="25.5" customHeight="1">
      <c r="A1037" s="356" t="s">
        <v>69</v>
      </c>
      <c r="B1037" s="557" t="s">
        <v>871</v>
      </c>
      <c r="C1037" s="359"/>
      <c r="D1037" s="359"/>
      <c r="E1037" s="558"/>
      <c r="F1037" s="364"/>
      <c r="G1037" s="361">
        <f>G1038+G1049+G1055</f>
        <v>746272</v>
      </c>
      <c r="H1037" s="361">
        <f t="shared" ref="H1037:L1037" si="225">H1038+H1049+H1055</f>
        <v>0</v>
      </c>
      <c r="I1037" s="361">
        <f t="shared" si="225"/>
        <v>0</v>
      </c>
      <c r="J1037" s="361">
        <f t="shared" si="225"/>
        <v>0</v>
      </c>
      <c r="K1037" s="361">
        <f t="shared" si="225"/>
        <v>746272</v>
      </c>
      <c r="L1037" s="365">
        <f t="shared" si="225"/>
        <v>0</v>
      </c>
      <c r="M1037" s="540">
        <f t="shared" si="219"/>
        <v>439607</v>
      </c>
      <c r="N1037" s="211"/>
      <c r="O1037" s="211"/>
      <c r="P1037" s="211"/>
      <c r="Q1037" s="211"/>
      <c r="R1037" s="211"/>
      <c r="S1037" s="362">
        <f t="shared" ref="S1037" si="226">S1038+S1049+S1055</f>
        <v>439607</v>
      </c>
      <c r="T1037" s="23"/>
      <c r="V1037" s="6">
        <f t="shared" si="215"/>
        <v>0</v>
      </c>
    </row>
    <row r="1038" spans="1:22" s="26" customFormat="1">
      <c r="A1038" s="247" t="s">
        <v>71</v>
      </c>
      <c r="B1038" s="309" t="s">
        <v>1981</v>
      </c>
      <c r="C1038" s="515"/>
      <c r="D1038" s="513"/>
      <c r="E1038" s="513"/>
      <c r="F1038" s="559"/>
      <c r="G1038" s="560">
        <f>SUM(G1039:G1048)</f>
        <v>33641</v>
      </c>
      <c r="H1038" s="561">
        <f t="shared" ref="H1038:L1038" si="227">SUM(H1039:H1048)</f>
        <v>0</v>
      </c>
      <c r="I1038" s="561">
        <f t="shared" si="227"/>
        <v>0</v>
      </c>
      <c r="J1038" s="561">
        <f t="shared" si="227"/>
        <v>0</v>
      </c>
      <c r="K1038" s="560">
        <f t="shared" si="227"/>
        <v>33641</v>
      </c>
      <c r="L1038" s="561">
        <f t="shared" si="227"/>
        <v>0</v>
      </c>
      <c r="M1038" s="560">
        <f t="shared" si="219"/>
        <v>5009</v>
      </c>
      <c r="N1038" s="520"/>
      <c r="O1038" s="17"/>
      <c r="P1038" s="17"/>
      <c r="Q1038" s="17"/>
      <c r="R1038" s="17"/>
      <c r="S1038" s="560">
        <f t="shared" ref="S1038" si="228">SUM(S1039:S1048)</f>
        <v>5009</v>
      </c>
      <c r="T1038" s="278"/>
      <c r="V1038" s="6">
        <f t="shared" si="215"/>
        <v>0</v>
      </c>
    </row>
    <row r="1039" spans="1:22" s="26" customFormat="1" ht="30">
      <c r="A1039" s="513">
        <v>1</v>
      </c>
      <c r="B1039" s="83" t="s">
        <v>1982</v>
      </c>
      <c r="C1039" s="515" t="s">
        <v>1955</v>
      </c>
      <c r="D1039" s="513" t="s">
        <v>1684</v>
      </c>
      <c r="E1039" s="513" t="s">
        <v>1725</v>
      </c>
      <c r="F1039" s="516" t="s">
        <v>1983</v>
      </c>
      <c r="G1039" s="517">
        <v>5614</v>
      </c>
      <c r="H1039" s="518"/>
      <c r="I1039" s="518"/>
      <c r="J1039" s="518"/>
      <c r="K1039" s="517">
        <f t="shared" ref="K1039:K1048" si="229">G1039</f>
        <v>5614</v>
      </c>
      <c r="L1039" s="518"/>
      <c r="M1039" s="519">
        <f t="shared" si="219"/>
        <v>360</v>
      </c>
      <c r="N1039" s="520"/>
      <c r="O1039" s="17"/>
      <c r="P1039" s="17"/>
      <c r="Q1039" s="17"/>
      <c r="R1039" s="17"/>
      <c r="S1039" s="519">
        <v>360</v>
      </c>
      <c r="T1039" s="278"/>
      <c r="V1039" s="6">
        <f t="shared" si="215"/>
        <v>0</v>
      </c>
    </row>
    <row r="1040" spans="1:22" s="26" customFormat="1" ht="30">
      <c r="A1040" s="513">
        <v>2</v>
      </c>
      <c r="B1040" s="83" t="s">
        <v>1984</v>
      </c>
      <c r="C1040" s="515" t="s">
        <v>1985</v>
      </c>
      <c r="D1040" s="513" t="s">
        <v>1684</v>
      </c>
      <c r="E1040" s="513" t="s">
        <v>547</v>
      </c>
      <c r="F1040" s="516" t="s">
        <v>1986</v>
      </c>
      <c r="G1040" s="517">
        <v>13891</v>
      </c>
      <c r="H1040" s="518"/>
      <c r="I1040" s="518"/>
      <c r="J1040" s="518"/>
      <c r="K1040" s="517">
        <f t="shared" si="229"/>
        <v>13891</v>
      </c>
      <c r="L1040" s="518"/>
      <c r="M1040" s="519">
        <f t="shared" si="219"/>
        <v>3000</v>
      </c>
      <c r="N1040" s="520"/>
      <c r="O1040" s="17"/>
      <c r="P1040" s="17"/>
      <c r="Q1040" s="17"/>
      <c r="R1040" s="17"/>
      <c r="S1040" s="519">
        <v>3000</v>
      </c>
      <c r="T1040" s="278"/>
      <c r="V1040" s="6">
        <f t="shared" si="215"/>
        <v>0</v>
      </c>
    </row>
    <row r="1041" spans="1:22" s="26" customFormat="1">
      <c r="A1041" s="513">
        <v>3</v>
      </c>
      <c r="B1041" s="83" t="s">
        <v>1987</v>
      </c>
      <c r="C1041" s="515" t="s">
        <v>1988</v>
      </c>
      <c r="D1041" s="513" t="s">
        <v>1684</v>
      </c>
      <c r="E1041" s="513" t="s">
        <v>357</v>
      </c>
      <c r="F1041" s="516" t="s">
        <v>1989</v>
      </c>
      <c r="G1041" s="517">
        <v>1171</v>
      </c>
      <c r="H1041" s="518"/>
      <c r="I1041" s="518"/>
      <c r="J1041" s="518"/>
      <c r="K1041" s="517">
        <f t="shared" si="229"/>
        <v>1171</v>
      </c>
      <c r="L1041" s="518"/>
      <c r="M1041" s="519">
        <f t="shared" si="219"/>
        <v>32</v>
      </c>
      <c r="N1041" s="520"/>
      <c r="O1041" s="17"/>
      <c r="P1041" s="17"/>
      <c r="Q1041" s="17"/>
      <c r="R1041" s="17"/>
      <c r="S1041" s="519">
        <v>32</v>
      </c>
      <c r="T1041" s="278"/>
      <c r="V1041" s="6">
        <f t="shared" si="215"/>
        <v>0</v>
      </c>
    </row>
    <row r="1042" spans="1:22" s="26" customFormat="1" ht="30">
      <c r="A1042" s="513">
        <v>4</v>
      </c>
      <c r="B1042" s="83" t="s">
        <v>1990</v>
      </c>
      <c r="C1042" s="515" t="s">
        <v>1966</v>
      </c>
      <c r="D1042" s="513" t="s">
        <v>1684</v>
      </c>
      <c r="E1042" s="513" t="s">
        <v>80</v>
      </c>
      <c r="F1042" s="516" t="s">
        <v>1991</v>
      </c>
      <c r="G1042" s="517">
        <v>2754</v>
      </c>
      <c r="H1042" s="518"/>
      <c r="I1042" s="518"/>
      <c r="J1042" s="518"/>
      <c r="K1042" s="517">
        <f t="shared" si="229"/>
        <v>2754</v>
      </c>
      <c r="L1042" s="518"/>
      <c r="M1042" s="519">
        <f t="shared" si="219"/>
        <v>68</v>
      </c>
      <c r="N1042" s="520"/>
      <c r="O1042" s="17"/>
      <c r="P1042" s="17"/>
      <c r="Q1042" s="17"/>
      <c r="R1042" s="17"/>
      <c r="S1042" s="519">
        <v>68</v>
      </c>
      <c r="T1042" s="278"/>
      <c r="V1042" s="6">
        <f t="shared" si="215"/>
        <v>0</v>
      </c>
    </row>
    <row r="1043" spans="1:22" s="26" customFormat="1">
      <c r="A1043" s="513">
        <v>5</v>
      </c>
      <c r="B1043" s="83" t="s">
        <v>1992</v>
      </c>
      <c r="C1043" s="515" t="s">
        <v>1980</v>
      </c>
      <c r="D1043" s="513" t="s">
        <v>1684</v>
      </c>
      <c r="E1043" s="513" t="s">
        <v>357</v>
      </c>
      <c r="F1043" s="516" t="s">
        <v>1993</v>
      </c>
      <c r="G1043" s="517">
        <v>752</v>
      </c>
      <c r="H1043" s="518"/>
      <c r="I1043" s="518"/>
      <c r="J1043" s="518"/>
      <c r="K1043" s="517">
        <f t="shared" si="229"/>
        <v>752</v>
      </c>
      <c r="L1043" s="518"/>
      <c r="M1043" s="519">
        <f t="shared" si="219"/>
        <v>32</v>
      </c>
      <c r="N1043" s="520"/>
      <c r="O1043" s="17"/>
      <c r="P1043" s="17"/>
      <c r="Q1043" s="17"/>
      <c r="R1043" s="17"/>
      <c r="S1043" s="519">
        <v>32</v>
      </c>
      <c r="T1043" s="278"/>
      <c r="V1043" s="6">
        <f t="shared" si="215"/>
        <v>0</v>
      </c>
    </row>
    <row r="1044" spans="1:22" s="26" customFormat="1">
      <c r="A1044" s="513">
        <v>6</v>
      </c>
      <c r="B1044" s="83" t="s">
        <v>1994</v>
      </c>
      <c r="C1044" s="515" t="s">
        <v>1995</v>
      </c>
      <c r="D1044" s="513" t="s">
        <v>1684</v>
      </c>
      <c r="E1044" s="513" t="s">
        <v>454</v>
      </c>
      <c r="F1044" s="516" t="s">
        <v>1996</v>
      </c>
      <c r="G1044" s="517">
        <v>4795</v>
      </c>
      <c r="H1044" s="518"/>
      <c r="I1044" s="518"/>
      <c r="J1044" s="518"/>
      <c r="K1044" s="517">
        <f t="shared" si="229"/>
        <v>4795</v>
      </c>
      <c r="L1044" s="518"/>
      <c r="M1044" s="519">
        <f t="shared" si="219"/>
        <v>68</v>
      </c>
      <c r="N1044" s="520"/>
      <c r="O1044" s="17"/>
      <c r="P1044" s="17"/>
      <c r="Q1044" s="17"/>
      <c r="R1044" s="17"/>
      <c r="S1044" s="519">
        <v>68</v>
      </c>
      <c r="T1044" s="278"/>
      <c r="V1044" s="6">
        <f t="shared" ref="V1044:V1107" si="230">G1044-H1044-I1044-J1044-K1044</f>
        <v>0</v>
      </c>
    </row>
    <row r="1045" spans="1:22" s="26" customFormat="1" ht="30">
      <c r="A1045" s="513">
        <v>7</v>
      </c>
      <c r="B1045" s="83" t="s">
        <v>1997</v>
      </c>
      <c r="C1045" s="515" t="s">
        <v>1958</v>
      </c>
      <c r="D1045" s="513" t="s">
        <v>1684</v>
      </c>
      <c r="E1045" s="513" t="s">
        <v>227</v>
      </c>
      <c r="F1045" s="516" t="s">
        <v>1998</v>
      </c>
      <c r="G1045" s="517">
        <v>1041</v>
      </c>
      <c r="H1045" s="518"/>
      <c r="I1045" s="518"/>
      <c r="J1045" s="518"/>
      <c r="K1045" s="517">
        <f t="shared" si="229"/>
        <v>1041</v>
      </c>
      <c r="L1045" s="518"/>
      <c r="M1045" s="519">
        <f t="shared" si="219"/>
        <v>28</v>
      </c>
      <c r="N1045" s="520"/>
      <c r="O1045" s="17"/>
      <c r="P1045" s="17"/>
      <c r="Q1045" s="17"/>
      <c r="R1045" s="17"/>
      <c r="S1045" s="519">
        <v>28</v>
      </c>
      <c r="T1045" s="278"/>
      <c r="V1045" s="6">
        <f t="shared" si="230"/>
        <v>0</v>
      </c>
    </row>
    <row r="1046" spans="1:22" s="26" customFormat="1" ht="30">
      <c r="A1046" s="513">
        <v>8</v>
      </c>
      <c r="B1046" s="83" t="s">
        <v>1999</v>
      </c>
      <c r="C1046" s="515" t="s">
        <v>2000</v>
      </c>
      <c r="D1046" s="513" t="s">
        <v>1684</v>
      </c>
      <c r="E1046" s="513" t="s">
        <v>357</v>
      </c>
      <c r="F1046" s="516" t="s">
        <v>2001</v>
      </c>
      <c r="G1046" s="517">
        <v>1199</v>
      </c>
      <c r="H1046" s="518"/>
      <c r="I1046" s="518"/>
      <c r="J1046" s="518"/>
      <c r="K1046" s="517">
        <f t="shared" si="229"/>
        <v>1199</v>
      </c>
      <c r="L1046" s="518"/>
      <c r="M1046" s="519">
        <f t="shared" si="219"/>
        <v>121</v>
      </c>
      <c r="N1046" s="520"/>
      <c r="O1046" s="17"/>
      <c r="P1046" s="17"/>
      <c r="Q1046" s="17"/>
      <c r="R1046" s="17"/>
      <c r="S1046" s="519">
        <v>121</v>
      </c>
      <c r="T1046" s="278"/>
      <c r="V1046" s="6">
        <f t="shared" si="230"/>
        <v>0</v>
      </c>
    </row>
    <row r="1047" spans="1:22" s="26" customFormat="1" ht="30">
      <c r="A1047" s="513">
        <v>9</v>
      </c>
      <c r="B1047" s="83" t="s">
        <v>2002</v>
      </c>
      <c r="C1047" s="515" t="s">
        <v>1988</v>
      </c>
      <c r="D1047" s="513" t="s">
        <v>1684</v>
      </c>
      <c r="E1047" s="513" t="s">
        <v>357</v>
      </c>
      <c r="F1047" s="516" t="s">
        <v>2003</v>
      </c>
      <c r="G1047" s="517">
        <v>632</v>
      </c>
      <c r="H1047" s="518"/>
      <c r="I1047" s="518"/>
      <c r="J1047" s="518"/>
      <c r="K1047" s="517">
        <f t="shared" si="229"/>
        <v>632</v>
      </c>
      <c r="L1047" s="518"/>
      <c r="M1047" s="519">
        <f t="shared" si="219"/>
        <v>191</v>
      </c>
      <c r="N1047" s="520"/>
      <c r="O1047" s="17"/>
      <c r="P1047" s="17"/>
      <c r="Q1047" s="17"/>
      <c r="R1047" s="17"/>
      <c r="S1047" s="519">
        <v>191</v>
      </c>
      <c r="T1047" s="278"/>
      <c r="V1047" s="6">
        <f t="shared" si="230"/>
        <v>0</v>
      </c>
    </row>
    <row r="1048" spans="1:22" s="26" customFormat="1" ht="30">
      <c r="A1048" s="513">
        <v>10</v>
      </c>
      <c r="B1048" s="83" t="s">
        <v>2004</v>
      </c>
      <c r="C1048" s="515" t="s">
        <v>1966</v>
      </c>
      <c r="D1048" s="513" t="s">
        <v>1684</v>
      </c>
      <c r="E1048" s="513" t="s">
        <v>227</v>
      </c>
      <c r="F1048" s="516" t="s">
        <v>2005</v>
      </c>
      <c r="G1048" s="517">
        <v>1792</v>
      </c>
      <c r="H1048" s="518"/>
      <c r="I1048" s="518"/>
      <c r="J1048" s="518"/>
      <c r="K1048" s="517">
        <f t="shared" si="229"/>
        <v>1792</v>
      </c>
      <c r="L1048" s="518"/>
      <c r="M1048" s="519">
        <f t="shared" si="219"/>
        <v>1109</v>
      </c>
      <c r="N1048" s="520"/>
      <c r="O1048" s="17"/>
      <c r="P1048" s="17"/>
      <c r="Q1048" s="17"/>
      <c r="R1048" s="17"/>
      <c r="S1048" s="519">
        <v>1109</v>
      </c>
      <c r="T1048" s="278"/>
      <c r="V1048" s="6">
        <f t="shared" si="230"/>
        <v>0</v>
      </c>
    </row>
    <row r="1049" spans="1:22" s="26" customFormat="1">
      <c r="A1049" s="562" t="s">
        <v>82</v>
      </c>
      <c r="B1049" s="563" t="s">
        <v>83</v>
      </c>
      <c r="C1049" s="515"/>
      <c r="D1049" s="513"/>
      <c r="E1049" s="513"/>
      <c r="F1049" s="559"/>
      <c r="G1049" s="560">
        <f>SUM(G1050:G1054)</f>
        <v>127630</v>
      </c>
      <c r="H1049" s="561">
        <f t="shared" ref="H1049:L1049" si="231">SUM(H1050:H1054)</f>
        <v>0</v>
      </c>
      <c r="I1049" s="561">
        <f t="shared" si="231"/>
        <v>0</v>
      </c>
      <c r="J1049" s="561">
        <f t="shared" si="231"/>
        <v>0</v>
      </c>
      <c r="K1049" s="560">
        <f t="shared" si="231"/>
        <v>127630</v>
      </c>
      <c r="L1049" s="561">
        <f t="shared" si="231"/>
        <v>0</v>
      </c>
      <c r="M1049" s="564">
        <f t="shared" si="219"/>
        <v>27207</v>
      </c>
      <c r="N1049" s="520"/>
      <c r="O1049" s="17"/>
      <c r="P1049" s="17"/>
      <c r="Q1049" s="17"/>
      <c r="R1049" s="17"/>
      <c r="S1049" s="564">
        <f t="shared" ref="S1049" si="232">SUM(S1050:S1054)</f>
        <v>27207</v>
      </c>
      <c r="T1049" s="278"/>
      <c r="V1049" s="6">
        <f t="shared" si="230"/>
        <v>0</v>
      </c>
    </row>
    <row r="1050" spans="1:22" s="26" customFormat="1">
      <c r="A1050" s="513">
        <v>1</v>
      </c>
      <c r="B1050" s="83" t="s">
        <v>2006</v>
      </c>
      <c r="C1050" s="515" t="s">
        <v>1966</v>
      </c>
      <c r="D1050" s="513" t="s">
        <v>1684</v>
      </c>
      <c r="E1050" s="513" t="s">
        <v>238</v>
      </c>
      <c r="F1050" s="516" t="s">
        <v>2007</v>
      </c>
      <c r="G1050" s="517">
        <v>43816</v>
      </c>
      <c r="H1050" s="518"/>
      <c r="I1050" s="518"/>
      <c r="J1050" s="518"/>
      <c r="K1050" s="517">
        <f>G1050</f>
        <v>43816</v>
      </c>
      <c r="L1050" s="518"/>
      <c r="M1050" s="519">
        <f t="shared" si="219"/>
        <v>905</v>
      </c>
      <c r="N1050" s="520"/>
      <c r="O1050" s="17"/>
      <c r="P1050" s="17"/>
      <c r="Q1050" s="17"/>
      <c r="R1050" s="17"/>
      <c r="S1050" s="519">
        <v>905</v>
      </c>
      <c r="T1050" s="278"/>
      <c r="V1050" s="6">
        <f t="shared" si="230"/>
        <v>0</v>
      </c>
    </row>
    <row r="1051" spans="1:22" s="26" customFormat="1" ht="30">
      <c r="A1051" s="513">
        <v>2</v>
      </c>
      <c r="B1051" s="83" t="s">
        <v>2008</v>
      </c>
      <c r="C1051" s="515" t="s">
        <v>1958</v>
      </c>
      <c r="D1051" s="513" t="s">
        <v>1684</v>
      </c>
      <c r="E1051" s="513" t="s">
        <v>214</v>
      </c>
      <c r="F1051" s="516" t="s">
        <v>2009</v>
      </c>
      <c r="G1051" s="517">
        <v>13249</v>
      </c>
      <c r="H1051" s="518"/>
      <c r="I1051" s="518"/>
      <c r="J1051" s="518"/>
      <c r="K1051" s="517">
        <f>G1051</f>
        <v>13249</v>
      </c>
      <c r="L1051" s="518"/>
      <c r="M1051" s="519">
        <f t="shared" si="219"/>
        <v>6796</v>
      </c>
      <c r="N1051" s="520"/>
      <c r="O1051" s="17"/>
      <c r="P1051" s="17"/>
      <c r="Q1051" s="17"/>
      <c r="R1051" s="17"/>
      <c r="S1051" s="519">
        <v>6796</v>
      </c>
      <c r="T1051" s="278"/>
      <c r="V1051" s="6">
        <f t="shared" si="230"/>
        <v>0</v>
      </c>
    </row>
    <row r="1052" spans="1:22" s="26" customFormat="1" ht="30">
      <c r="A1052" s="513">
        <v>3</v>
      </c>
      <c r="B1052" s="83" t="s">
        <v>2010</v>
      </c>
      <c r="C1052" s="515" t="s">
        <v>1955</v>
      </c>
      <c r="D1052" s="513" t="s">
        <v>1684</v>
      </c>
      <c r="E1052" s="513" t="s">
        <v>2011</v>
      </c>
      <c r="F1052" s="516" t="s">
        <v>2012</v>
      </c>
      <c r="G1052" s="517">
        <v>51543</v>
      </c>
      <c r="H1052" s="518"/>
      <c r="I1052" s="518"/>
      <c r="J1052" s="518"/>
      <c r="K1052" s="517">
        <f>G1052</f>
        <v>51543</v>
      </c>
      <c r="L1052" s="518"/>
      <c r="M1052" s="519">
        <f t="shared" si="219"/>
        <v>5581</v>
      </c>
      <c r="N1052" s="520"/>
      <c r="O1052" s="17"/>
      <c r="P1052" s="17"/>
      <c r="Q1052" s="17"/>
      <c r="R1052" s="17"/>
      <c r="S1052" s="519">
        <v>5581</v>
      </c>
      <c r="T1052" s="278"/>
      <c r="V1052" s="6">
        <f t="shared" si="230"/>
        <v>0</v>
      </c>
    </row>
    <row r="1053" spans="1:22" s="26" customFormat="1">
      <c r="A1053" s="513">
        <v>4</v>
      </c>
      <c r="B1053" s="83" t="s">
        <v>2013</v>
      </c>
      <c r="C1053" s="515" t="s">
        <v>1958</v>
      </c>
      <c r="D1053" s="513" t="s">
        <v>1684</v>
      </c>
      <c r="E1053" s="513" t="s">
        <v>238</v>
      </c>
      <c r="F1053" s="516" t="s">
        <v>2014</v>
      </c>
      <c r="G1053" s="517">
        <v>13380</v>
      </c>
      <c r="H1053" s="518"/>
      <c r="I1053" s="518"/>
      <c r="J1053" s="518"/>
      <c r="K1053" s="517">
        <f>G1053</f>
        <v>13380</v>
      </c>
      <c r="L1053" s="518"/>
      <c r="M1053" s="519">
        <f t="shared" si="219"/>
        <v>11566</v>
      </c>
      <c r="N1053" s="520"/>
      <c r="O1053" s="17"/>
      <c r="P1053" s="17"/>
      <c r="Q1053" s="17"/>
      <c r="R1053" s="17"/>
      <c r="S1053" s="519">
        <v>11566</v>
      </c>
      <c r="T1053" s="278"/>
      <c r="V1053" s="6">
        <f t="shared" si="230"/>
        <v>0</v>
      </c>
    </row>
    <row r="1054" spans="1:22" s="26" customFormat="1" ht="30">
      <c r="A1054" s="513">
        <v>5</v>
      </c>
      <c r="B1054" s="514" t="s">
        <v>2015</v>
      </c>
      <c r="C1054" s="515" t="s">
        <v>1966</v>
      </c>
      <c r="D1054" s="513" t="s">
        <v>1684</v>
      </c>
      <c r="E1054" s="513" t="s">
        <v>214</v>
      </c>
      <c r="F1054" s="516" t="s">
        <v>2016</v>
      </c>
      <c r="G1054" s="517">
        <v>5642</v>
      </c>
      <c r="H1054" s="518"/>
      <c r="I1054" s="518"/>
      <c r="J1054" s="518"/>
      <c r="K1054" s="517">
        <f t="shared" ref="K1054" si="233">G1054</f>
        <v>5642</v>
      </c>
      <c r="L1054" s="518"/>
      <c r="M1054" s="519">
        <f t="shared" si="219"/>
        <v>2359</v>
      </c>
      <c r="N1054" s="520"/>
      <c r="O1054" s="17"/>
      <c r="P1054" s="17"/>
      <c r="Q1054" s="17"/>
      <c r="R1054" s="17"/>
      <c r="S1054" s="519">
        <v>2359</v>
      </c>
      <c r="T1054" s="278"/>
      <c r="V1054" s="6">
        <f t="shared" si="230"/>
        <v>0</v>
      </c>
    </row>
    <row r="1055" spans="1:22" s="26" customFormat="1">
      <c r="A1055" s="562" t="s">
        <v>102</v>
      </c>
      <c r="B1055" s="563" t="s">
        <v>103</v>
      </c>
      <c r="C1055" s="515"/>
      <c r="D1055" s="513"/>
      <c r="E1055" s="513"/>
      <c r="F1055" s="559"/>
      <c r="G1055" s="560">
        <f t="shared" ref="G1055:L1055" si="234">SUM(G1056:G1134)</f>
        <v>585001</v>
      </c>
      <c r="H1055" s="560">
        <f t="shared" si="234"/>
        <v>0</v>
      </c>
      <c r="I1055" s="560">
        <f t="shared" si="234"/>
        <v>0</v>
      </c>
      <c r="J1055" s="560">
        <f t="shared" si="234"/>
        <v>0</v>
      </c>
      <c r="K1055" s="560">
        <f t="shared" si="234"/>
        <v>585001</v>
      </c>
      <c r="L1055" s="560">
        <f t="shared" si="234"/>
        <v>0</v>
      </c>
      <c r="M1055" s="560">
        <f t="shared" si="219"/>
        <v>407391</v>
      </c>
      <c r="N1055" s="520"/>
      <c r="O1055" s="17"/>
      <c r="P1055" s="17"/>
      <c r="Q1055" s="17"/>
      <c r="R1055" s="17"/>
      <c r="S1055" s="560">
        <f>SUM(S1056:S1134)</f>
        <v>407391</v>
      </c>
      <c r="T1055" s="278"/>
      <c r="V1055" s="6">
        <f t="shared" si="230"/>
        <v>0</v>
      </c>
    </row>
    <row r="1056" spans="1:22" s="26" customFormat="1" ht="30">
      <c r="A1056" s="513">
        <v>1</v>
      </c>
      <c r="B1056" s="514" t="s">
        <v>2017</v>
      </c>
      <c r="C1056" s="515" t="s">
        <v>2018</v>
      </c>
      <c r="D1056" s="513" t="s">
        <v>1684</v>
      </c>
      <c r="E1056" s="513" t="s">
        <v>55</v>
      </c>
      <c r="F1056" s="516" t="s">
        <v>2019</v>
      </c>
      <c r="G1056" s="517">
        <v>1188</v>
      </c>
      <c r="H1056" s="518"/>
      <c r="I1056" s="518"/>
      <c r="J1056" s="518"/>
      <c r="K1056" s="517">
        <f t="shared" ref="K1056:K1119" si="235">G1056</f>
        <v>1188</v>
      </c>
      <c r="L1056" s="518"/>
      <c r="M1056" s="519">
        <f t="shared" si="219"/>
        <v>1069</v>
      </c>
      <c r="N1056" s="520"/>
      <c r="O1056" s="17"/>
      <c r="P1056" s="17"/>
      <c r="Q1056" s="17"/>
      <c r="R1056" s="17"/>
      <c r="S1056" s="519">
        <v>1069</v>
      </c>
      <c r="T1056" s="278"/>
      <c r="V1056" s="6">
        <f t="shared" si="230"/>
        <v>0</v>
      </c>
    </row>
    <row r="1057" spans="1:22" s="26" customFormat="1">
      <c r="A1057" s="513">
        <v>2</v>
      </c>
      <c r="B1057" s="514" t="s">
        <v>2020</v>
      </c>
      <c r="C1057" s="515" t="s">
        <v>1970</v>
      </c>
      <c r="D1057" s="513" t="s">
        <v>1684</v>
      </c>
      <c r="E1057" s="513" t="s">
        <v>160</v>
      </c>
      <c r="F1057" s="516" t="s">
        <v>2021</v>
      </c>
      <c r="G1057" s="517">
        <v>725</v>
      </c>
      <c r="H1057" s="518"/>
      <c r="I1057" s="518"/>
      <c r="J1057" s="518"/>
      <c r="K1057" s="517">
        <f t="shared" si="235"/>
        <v>725</v>
      </c>
      <c r="L1057" s="518"/>
      <c r="M1057" s="519">
        <f t="shared" si="219"/>
        <v>633</v>
      </c>
      <c r="N1057" s="520"/>
      <c r="O1057" s="17"/>
      <c r="P1057" s="17"/>
      <c r="Q1057" s="17"/>
      <c r="R1057" s="17"/>
      <c r="S1057" s="519">
        <v>633</v>
      </c>
      <c r="T1057" s="278"/>
      <c r="V1057" s="6">
        <f t="shared" si="230"/>
        <v>0</v>
      </c>
    </row>
    <row r="1058" spans="1:22" s="26" customFormat="1" ht="30">
      <c r="A1058" s="513">
        <v>3</v>
      </c>
      <c r="B1058" s="514" t="s">
        <v>2022</v>
      </c>
      <c r="C1058" s="515" t="s">
        <v>2023</v>
      </c>
      <c r="D1058" s="513" t="s">
        <v>1684</v>
      </c>
      <c r="E1058" s="513" t="s">
        <v>112</v>
      </c>
      <c r="F1058" s="516" t="s">
        <v>2024</v>
      </c>
      <c r="G1058" s="517">
        <v>14000</v>
      </c>
      <c r="H1058" s="518"/>
      <c r="I1058" s="518"/>
      <c r="J1058" s="518"/>
      <c r="K1058" s="517">
        <f t="shared" si="235"/>
        <v>14000</v>
      </c>
      <c r="L1058" s="518"/>
      <c r="M1058" s="519">
        <f t="shared" si="219"/>
        <v>10555</v>
      </c>
      <c r="N1058" s="520"/>
      <c r="O1058" s="17"/>
      <c r="P1058" s="17"/>
      <c r="Q1058" s="17"/>
      <c r="R1058" s="17"/>
      <c r="S1058" s="519">
        <v>10555</v>
      </c>
      <c r="T1058" s="278"/>
      <c r="V1058" s="6">
        <f t="shared" si="230"/>
        <v>0</v>
      </c>
    </row>
    <row r="1059" spans="1:22" s="26" customFormat="1">
      <c r="A1059" s="513">
        <v>4</v>
      </c>
      <c r="B1059" s="514" t="s">
        <v>2025</v>
      </c>
      <c r="C1059" s="515" t="s">
        <v>2023</v>
      </c>
      <c r="D1059" s="513" t="s">
        <v>1684</v>
      </c>
      <c r="E1059" s="513" t="s">
        <v>112</v>
      </c>
      <c r="F1059" s="516" t="s">
        <v>2026</v>
      </c>
      <c r="G1059" s="517">
        <v>9783</v>
      </c>
      <c r="H1059" s="518"/>
      <c r="I1059" s="518"/>
      <c r="J1059" s="518"/>
      <c r="K1059" s="517">
        <f t="shared" si="235"/>
        <v>9783</v>
      </c>
      <c r="L1059" s="518"/>
      <c r="M1059" s="519">
        <f t="shared" si="219"/>
        <v>7962</v>
      </c>
      <c r="N1059" s="561"/>
      <c r="O1059" s="17"/>
      <c r="P1059" s="17"/>
      <c r="Q1059" s="17"/>
      <c r="R1059" s="17"/>
      <c r="S1059" s="519">
        <v>7962</v>
      </c>
      <c r="T1059" s="278"/>
      <c r="V1059" s="6">
        <f t="shared" si="230"/>
        <v>0</v>
      </c>
    </row>
    <row r="1060" spans="1:22" s="26" customFormat="1">
      <c r="A1060" s="513">
        <v>5</v>
      </c>
      <c r="B1060" s="514" t="s">
        <v>2027</v>
      </c>
      <c r="C1060" s="515" t="s">
        <v>2028</v>
      </c>
      <c r="D1060" s="513" t="s">
        <v>1684</v>
      </c>
      <c r="E1060" s="513" t="s">
        <v>112</v>
      </c>
      <c r="F1060" s="516" t="s">
        <v>2029</v>
      </c>
      <c r="G1060" s="517">
        <v>14064</v>
      </c>
      <c r="H1060" s="518"/>
      <c r="I1060" s="518"/>
      <c r="J1060" s="518"/>
      <c r="K1060" s="517">
        <f t="shared" si="235"/>
        <v>14064</v>
      </c>
      <c r="L1060" s="518"/>
      <c r="M1060" s="519">
        <f t="shared" si="219"/>
        <v>11985</v>
      </c>
      <c r="N1060" s="561"/>
      <c r="O1060" s="17"/>
      <c r="P1060" s="17"/>
      <c r="Q1060" s="17"/>
      <c r="R1060" s="17"/>
      <c r="S1060" s="519">
        <v>11985</v>
      </c>
      <c r="T1060" s="278"/>
      <c r="V1060" s="6">
        <f t="shared" si="230"/>
        <v>0</v>
      </c>
    </row>
    <row r="1061" spans="1:22" s="26" customFormat="1" ht="30">
      <c r="A1061" s="513">
        <v>6</v>
      </c>
      <c r="B1061" s="514" t="s">
        <v>2030</v>
      </c>
      <c r="C1061" s="515" t="s">
        <v>1958</v>
      </c>
      <c r="D1061" s="513" t="s">
        <v>1684</v>
      </c>
      <c r="E1061" s="513" t="s">
        <v>55</v>
      </c>
      <c r="F1061" s="516" t="s">
        <v>2031</v>
      </c>
      <c r="G1061" s="517">
        <v>6154</v>
      </c>
      <c r="H1061" s="518"/>
      <c r="I1061" s="518"/>
      <c r="J1061" s="518"/>
      <c r="K1061" s="517">
        <f t="shared" si="235"/>
        <v>6154</v>
      </c>
      <c r="L1061" s="518"/>
      <c r="M1061" s="519">
        <f t="shared" si="219"/>
        <v>4949</v>
      </c>
      <c r="N1061" s="520"/>
      <c r="O1061" s="17"/>
      <c r="P1061" s="17"/>
      <c r="Q1061" s="17"/>
      <c r="R1061" s="17"/>
      <c r="S1061" s="519">
        <v>4949</v>
      </c>
      <c r="T1061" s="278"/>
      <c r="V1061" s="6">
        <f t="shared" si="230"/>
        <v>0</v>
      </c>
    </row>
    <row r="1062" spans="1:22" s="26" customFormat="1" ht="45">
      <c r="A1062" s="513">
        <v>7</v>
      </c>
      <c r="B1062" s="514" t="s">
        <v>2032</v>
      </c>
      <c r="C1062" s="515" t="s">
        <v>2033</v>
      </c>
      <c r="D1062" s="513" t="s">
        <v>1684</v>
      </c>
      <c r="E1062" s="513" t="s">
        <v>55</v>
      </c>
      <c r="F1062" s="516" t="s">
        <v>2034</v>
      </c>
      <c r="G1062" s="517">
        <v>2767</v>
      </c>
      <c r="H1062" s="518"/>
      <c r="I1062" s="518"/>
      <c r="J1062" s="518"/>
      <c r="K1062" s="517">
        <f t="shared" si="235"/>
        <v>2767</v>
      </c>
      <c r="L1062" s="518"/>
      <c r="M1062" s="519">
        <f t="shared" si="219"/>
        <v>2600</v>
      </c>
      <c r="N1062" s="520"/>
      <c r="O1062" s="17"/>
      <c r="P1062" s="17"/>
      <c r="Q1062" s="17"/>
      <c r="R1062" s="17"/>
      <c r="S1062" s="519">
        <v>2600</v>
      </c>
      <c r="T1062" s="278"/>
      <c r="V1062" s="6">
        <f t="shared" si="230"/>
        <v>0</v>
      </c>
    </row>
    <row r="1063" spans="1:22" s="26" customFormat="1" ht="30">
      <c r="A1063" s="513">
        <v>8</v>
      </c>
      <c r="B1063" s="514" t="s">
        <v>2035</v>
      </c>
      <c r="C1063" s="515" t="s">
        <v>2018</v>
      </c>
      <c r="D1063" s="513" t="s">
        <v>1684</v>
      </c>
      <c r="E1063" s="513" t="s">
        <v>166</v>
      </c>
      <c r="F1063" s="516" t="s">
        <v>2036</v>
      </c>
      <c r="G1063" s="517">
        <v>14500</v>
      </c>
      <c r="H1063" s="518"/>
      <c r="I1063" s="518"/>
      <c r="J1063" s="518"/>
      <c r="K1063" s="517">
        <f t="shared" si="235"/>
        <v>14500</v>
      </c>
      <c r="L1063" s="518"/>
      <c r="M1063" s="519">
        <f t="shared" si="219"/>
        <v>14011</v>
      </c>
      <c r="N1063" s="520"/>
      <c r="O1063" s="17"/>
      <c r="P1063" s="17"/>
      <c r="Q1063" s="17"/>
      <c r="R1063" s="17"/>
      <c r="S1063" s="519">
        <v>14011</v>
      </c>
      <c r="T1063" s="278"/>
      <c r="V1063" s="6">
        <f t="shared" si="230"/>
        <v>0</v>
      </c>
    </row>
    <row r="1064" spans="1:22" s="26" customFormat="1">
      <c r="A1064" s="513">
        <v>9</v>
      </c>
      <c r="B1064" s="514" t="s">
        <v>2037</v>
      </c>
      <c r="C1064" s="515" t="s">
        <v>1958</v>
      </c>
      <c r="D1064" s="513" t="s">
        <v>1684</v>
      </c>
      <c r="E1064" s="513" t="s">
        <v>55</v>
      </c>
      <c r="F1064" s="516" t="s">
        <v>2038</v>
      </c>
      <c r="G1064" s="517">
        <v>1114</v>
      </c>
      <c r="H1064" s="518"/>
      <c r="I1064" s="518"/>
      <c r="J1064" s="518"/>
      <c r="K1064" s="517">
        <f t="shared" si="235"/>
        <v>1114</v>
      </c>
      <c r="L1064" s="518"/>
      <c r="M1064" s="519">
        <f t="shared" si="219"/>
        <v>1025</v>
      </c>
      <c r="N1064" s="520"/>
      <c r="O1064" s="17"/>
      <c r="P1064" s="17"/>
      <c r="Q1064" s="17"/>
      <c r="R1064" s="17"/>
      <c r="S1064" s="519">
        <v>1025</v>
      </c>
      <c r="T1064" s="278"/>
      <c r="V1064" s="6">
        <f t="shared" si="230"/>
        <v>0</v>
      </c>
    </row>
    <row r="1065" spans="1:22" s="26" customFormat="1" ht="30">
      <c r="A1065" s="513">
        <v>10</v>
      </c>
      <c r="B1065" s="514" t="s">
        <v>2039</v>
      </c>
      <c r="C1065" s="515" t="s">
        <v>1955</v>
      </c>
      <c r="D1065" s="513" t="s">
        <v>1684</v>
      </c>
      <c r="E1065" s="513" t="s">
        <v>55</v>
      </c>
      <c r="F1065" s="516" t="s">
        <v>2040</v>
      </c>
      <c r="G1065" s="517">
        <v>920</v>
      </c>
      <c r="H1065" s="518"/>
      <c r="I1065" s="518"/>
      <c r="J1065" s="518"/>
      <c r="K1065" s="517">
        <f t="shared" si="235"/>
        <v>920</v>
      </c>
      <c r="L1065" s="518"/>
      <c r="M1065" s="519">
        <f t="shared" si="219"/>
        <v>849</v>
      </c>
      <c r="N1065" s="520"/>
      <c r="O1065" s="17"/>
      <c r="P1065" s="17"/>
      <c r="Q1065" s="17"/>
      <c r="R1065" s="17"/>
      <c r="S1065" s="519">
        <v>849</v>
      </c>
      <c r="T1065" s="278"/>
      <c r="V1065" s="6">
        <f t="shared" si="230"/>
        <v>0</v>
      </c>
    </row>
    <row r="1066" spans="1:22" s="26" customFormat="1" ht="30">
      <c r="A1066" s="513">
        <v>11</v>
      </c>
      <c r="B1066" s="514" t="s">
        <v>2041</v>
      </c>
      <c r="C1066" s="515" t="s">
        <v>1955</v>
      </c>
      <c r="D1066" s="513" t="s">
        <v>1684</v>
      </c>
      <c r="E1066" s="513" t="s">
        <v>55</v>
      </c>
      <c r="F1066" s="516" t="s">
        <v>2042</v>
      </c>
      <c r="G1066" s="517">
        <v>932</v>
      </c>
      <c r="H1066" s="518"/>
      <c r="I1066" s="518"/>
      <c r="J1066" s="518"/>
      <c r="K1066" s="517">
        <f t="shared" si="235"/>
        <v>932</v>
      </c>
      <c r="L1066" s="518"/>
      <c r="M1066" s="519">
        <f t="shared" si="219"/>
        <v>845</v>
      </c>
      <c r="N1066" s="520"/>
      <c r="O1066" s="17"/>
      <c r="P1066" s="17"/>
      <c r="Q1066" s="17"/>
      <c r="R1066" s="17"/>
      <c r="S1066" s="519">
        <v>845</v>
      </c>
      <c r="T1066" s="278"/>
      <c r="V1066" s="6">
        <f t="shared" si="230"/>
        <v>0</v>
      </c>
    </row>
    <row r="1067" spans="1:22" s="26" customFormat="1">
      <c r="A1067" s="513">
        <v>12</v>
      </c>
      <c r="B1067" s="514" t="s">
        <v>2043</v>
      </c>
      <c r="C1067" s="515" t="s">
        <v>1970</v>
      </c>
      <c r="D1067" s="513" t="s">
        <v>1684</v>
      </c>
      <c r="E1067" s="513" t="s">
        <v>55</v>
      </c>
      <c r="F1067" s="516" t="s">
        <v>2044</v>
      </c>
      <c r="G1067" s="517">
        <v>1180</v>
      </c>
      <c r="H1067" s="518"/>
      <c r="I1067" s="518"/>
      <c r="J1067" s="518"/>
      <c r="K1067" s="517">
        <f t="shared" si="235"/>
        <v>1180</v>
      </c>
      <c r="L1067" s="518"/>
      <c r="M1067" s="519">
        <f t="shared" si="219"/>
        <v>1121</v>
      </c>
      <c r="N1067" s="520"/>
      <c r="O1067" s="17"/>
      <c r="P1067" s="17"/>
      <c r="Q1067" s="17"/>
      <c r="R1067" s="17"/>
      <c r="S1067" s="519">
        <v>1121</v>
      </c>
      <c r="T1067" s="278"/>
      <c r="V1067" s="6">
        <f t="shared" si="230"/>
        <v>0</v>
      </c>
    </row>
    <row r="1068" spans="1:22" s="26" customFormat="1">
      <c r="A1068" s="513">
        <v>13</v>
      </c>
      <c r="B1068" s="514" t="s">
        <v>2045</v>
      </c>
      <c r="C1068" s="515" t="s">
        <v>1988</v>
      </c>
      <c r="D1068" s="513" t="s">
        <v>1684</v>
      </c>
      <c r="E1068" s="513" t="s">
        <v>55</v>
      </c>
      <c r="F1068" s="516" t="s">
        <v>2046</v>
      </c>
      <c r="G1068" s="517">
        <v>1027</v>
      </c>
      <c r="H1068" s="518"/>
      <c r="I1068" s="518"/>
      <c r="J1068" s="518"/>
      <c r="K1068" s="517">
        <f t="shared" si="235"/>
        <v>1027</v>
      </c>
      <c r="L1068" s="518"/>
      <c r="M1068" s="519">
        <f t="shared" si="219"/>
        <v>977</v>
      </c>
      <c r="N1068" s="520"/>
      <c r="O1068" s="17"/>
      <c r="P1068" s="17"/>
      <c r="Q1068" s="17"/>
      <c r="R1068" s="17"/>
      <c r="S1068" s="519">
        <v>977</v>
      </c>
      <c r="T1068" s="278"/>
      <c r="V1068" s="6">
        <f t="shared" si="230"/>
        <v>0</v>
      </c>
    </row>
    <row r="1069" spans="1:22" s="26" customFormat="1">
      <c r="A1069" s="513">
        <v>14</v>
      </c>
      <c r="B1069" s="514" t="s">
        <v>2047</v>
      </c>
      <c r="C1069" s="515" t="s">
        <v>2048</v>
      </c>
      <c r="D1069" s="513" t="s">
        <v>1684</v>
      </c>
      <c r="E1069" s="513" t="s">
        <v>55</v>
      </c>
      <c r="F1069" s="516" t="s">
        <v>2049</v>
      </c>
      <c r="G1069" s="517">
        <v>1126</v>
      </c>
      <c r="H1069" s="518"/>
      <c r="I1069" s="518"/>
      <c r="J1069" s="518"/>
      <c r="K1069" s="517">
        <f t="shared" si="235"/>
        <v>1126</v>
      </c>
      <c r="L1069" s="518"/>
      <c r="M1069" s="519">
        <f t="shared" si="219"/>
        <v>1091</v>
      </c>
      <c r="N1069" s="520"/>
      <c r="O1069" s="17"/>
      <c r="P1069" s="17"/>
      <c r="Q1069" s="17"/>
      <c r="R1069" s="17"/>
      <c r="S1069" s="519">
        <v>1091</v>
      </c>
      <c r="T1069" s="278"/>
      <c r="V1069" s="6">
        <f t="shared" si="230"/>
        <v>0</v>
      </c>
    </row>
    <row r="1070" spans="1:22" s="26" customFormat="1" ht="30">
      <c r="A1070" s="513">
        <v>15</v>
      </c>
      <c r="B1070" s="514" t="s">
        <v>2050</v>
      </c>
      <c r="C1070" s="515" t="s">
        <v>2051</v>
      </c>
      <c r="D1070" s="513" t="s">
        <v>1684</v>
      </c>
      <c r="E1070" s="513" t="s">
        <v>55</v>
      </c>
      <c r="F1070" s="516" t="s">
        <v>2052</v>
      </c>
      <c r="G1070" s="517">
        <v>936</v>
      </c>
      <c r="H1070" s="518"/>
      <c r="I1070" s="518"/>
      <c r="J1070" s="518"/>
      <c r="K1070" s="517">
        <f t="shared" si="235"/>
        <v>936</v>
      </c>
      <c r="L1070" s="518"/>
      <c r="M1070" s="519">
        <f t="shared" si="219"/>
        <v>1118</v>
      </c>
      <c r="N1070" s="520"/>
      <c r="O1070" s="17"/>
      <c r="P1070" s="17"/>
      <c r="Q1070" s="17"/>
      <c r="R1070" s="17"/>
      <c r="S1070" s="519">
        <v>1118</v>
      </c>
      <c r="T1070" s="278"/>
      <c r="V1070" s="6">
        <f t="shared" si="230"/>
        <v>0</v>
      </c>
    </row>
    <row r="1071" spans="1:22" s="26" customFormat="1" ht="30">
      <c r="A1071" s="513">
        <v>16</v>
      </c>
      <c r="B1071" s="514" t="s">
        <v>2053</v>
      </c>
      <c r="C1071" s="515" t="s">
        <v>1946</v>
      </c>
      <c r="D1071" s="513" t="s">
        <v>1684</v>
      </c>
      <c r="E1071" s="513" t="s">
        <v>55</v>
      </c>
      <c r="F1071" s="516" t="s">
        <v>2054</v>
      </c>
      <c r="G1071" s="517">
        <v>874</v>
      </c>
      <c r="H1071" s="518"/>
      <c r="I1071" s="518"/>
      <c r="J1071" s="518"/>
      <c r="K1071" s="517">
        <f t="shared" si="235"/>
        <v>874</v>
      </c>
      <c r="L1071" s="518"/>
      <c r="M1071" s="519">
        <f t="shared" si="219"/>
        <v>822</v>
      </c>
      <c r="N1071" s="520"/>
      <c r="O1071" s="17"/>
      <c r="P1071" s="17"/>
      <c r="Q1071" s="17"/>
      <c r="R1071" s="17"/>
      <c r="S1071" s="519">
        <v>822</v>
      </c>
      <c r="T1071" s="278"/>
      <c r="V1071" s="6">
        <f t="shared" si="230"/>
        <v>0</v>
      </c>
    </row>
    <row r="1072" spans="1:22" s="26" customFormat="1" ht="30">
      <c r="A1072" s="513">
        <v>17</v>
      </c>
      <c r="B1072" s="514" t="s">
        <v>2055</v>
      </c>
      <c r="C1072" s="515" t="s">
        <v>2028</v>
      </c>
      <c r="D1072" s="513" t="s">
        <v>1684</v>
      </c>
      <c r="E1072" s="513" t="s">
        <v>112</v>
      </c>
      <c r="F1072" s="516" t="s">
        <v>2056</v>
      </c>
      <c r="G1072" s="517">
        <v>13008</v>
      </c>
      <c r="H1072" s="518"/>
      <c r="I1072" s="518"/>
      <c r="J1072" s="518"/>
      <c r="K1072" s="517">
        <f t="shared" si="235"/>
        <v>13008</v>
      </c>
      <c r="L1072" s="518"/>
      <c r="M1072" s="519">
        <f t="shared" si="219"/>
        <v>3738</v>
      </c>
      <c r="N1072" s="520"/>
      <c r="O1072" s="17"/>
      <c r="P1072" s="17"/>
      <c r="Q1072" s="17"/>
      <c r="R1072" s="17"/>
      <c r="S1072" s="519">
        <v>3738</v>
      </c>
      <c r="T1072" s="278"/>
      <c r="V1072" s="6">
        <f t="shared" si="230"/>
        <v>0</v>
      </c>
    </row>
    <row r="1073" spans="1:22" s="26" customFormat="1" ht="45">
      <c r="A1073" s="513">
        <v>18</v>
      </c>
      <c r="B1073" s="514" t="s">
        <v>2057</v>
      </c>
      <c r="C1073" s="515" t="s">
        <v>1966</v>
      </c>
      <c r="D1073" s="513" t="s">
        <v>1684</v>
      </c>
      <c r="E1073" s="513" t="s">
        <v>55</v>
      </c>
      <c r="F1073" s="516" t="s">
        <v>2058</v>
      </c>
      <c r="G1073" s="517">
        <v>951</v>
      </c>
      <c r="H1073" s="518"/>
      <c r="I1073" s="518"/>
      <c r="J1073" s="518"/>
      <c r="K1073" s="517">
        <f t="shared" si="235"/>
        <v>951</v>
      </c>
      <c r="L1073" s="518"/>
      <c r="M1073" s="519">
        <f t="shared" si="219"/>
        <v>943</v>
      </c>
      <c r="N1073" s="520"/>
      <c r="O1073" s="17"/>
      <c r="P1073" s="17"/>
      <c r="Q1073" s="17"/>
      <c r="R1073" s="17"/>
      <c r="S1073" s="519">
        <v>943</v>
      </c>
      <c r="T1073" s="278"/>
      <c r="V1073" s="6">
        <f t="shared" si="230"/>
        <v>0</v>
      </c>
    </row>
    <row r="1074" spans="1:22" s="26" customFormat="1">
      <c r="A1074" s="513">
        <v>19</v>
      </c>
      <c r="B1074" s="514" t="s">
        <v>2059</v>
      </c>
      <c r="C1074" s="515" t="s">
        <v>1966</v>
      </c>
      <c r="D1074" s="513" t="s">
        <v>1684</v>
      </c>
      <c r="E1074" s="513" t="s">
        <v>112</v>
      </c>
      <c r="F1074" s="516" t="s">
        <v>2060</v>
      </c>
      <c r="G1074" s="517">
        <v>20047</v>
      </c>
      <c r="H1074" s="518"/>
      <c r="I1074" s="518"/>
      <c r="J1074" s="518"/>
      <c r="K1074" s="517">
        <f t="shared" si="235"/>
        <v>20047</v>
      </c>
      <c r="L1074" s="518"/>
      <c r="M1074" s="519">
        <f t="shared" si="219"/>
        <v>18150</v>
      </c>
      <c r="N1074" s="520"/>
      <c r="O1074" s="17"/>
      <c r="P1074" s="17"/>
      <c r="Q1074" s="17"/>
      <c r="R1074" s="17"/>
      <c r="S1074" s="519">
        <v>18150</v>
      </c>
      <c r="T1074" s="278"/>
      <c r="V1074" s="6">
        <f t="shared" si="230"/>
        <v>0</v>
      </c>
    </row>
    <row r="1075" spans="1:22" s="26" customFormat="1" ht="30">
      <c r="A1075" s="513">
        <v>20</v>
      </c>
      <c r="B1075" s="514" t="s">
        <v>2061</v>
      </c>
      <c r="C1075" s="515" t="s">
        <v>1966</v>
      </c>
      <c r="D1075" s="513" t="s">
        <v>1684</v>
      </c>
      <c r="E1075" s="513" t="s">
        <v>55</v>
      </c>
      <c r="F1075" s="516" t="s">
        <v>2062</v>
      </c>
      <c r="G1075" s="517">
        <v>12787</v>
      </c>
      <c r="H1075" s="518"/>
      <c r="I1075" s="518"/>
      <c r="J1075" s="518"/>
      <c r="K1075" s="517">
        <f t="shared" si="235"/>
        <v>12787</v>
      </c>
      <c r="L1075" s="518"/>
      <c r="M1075" s="519">
        <f t="shared" ref="M1075:M1138" si="236">SUM(N1075:S1075)</f>
        <v>12066</v>
      </c>
      <c r="N1075" s="520"/>
      <c r="O1075" s="17"/>
      <c r="P1075" s="17"/>
      <c r="Q1075" s="17"/>
      <c r="R1075" s="17"/>
      <c r="S1075" s="519">
        <v>12066</v>
      </c>
      <c r="T1075" s="278"/>
      <c r="V1075" s="6">
        <f t="shared" si="230"/>
        <v>0</v>
      </c>
    </row>
    <row r="1076" spans="1:22" s="26" customFormat="1" ht="30">
      <c r="A1076" s="513">
        <v>21</v>
      </c>
      <c r="B1076" s="514" t="s">
        <v>2063</v>
      </c>
      <c r="C1076" s="515" t="s">
        <v>1966</v>
      </c>
      <c r="D1076" s="513" t="s">
        <v>1684</v>
      </c>
      <c r="E1076" s="513" t="s">
        <v>112</v>
      </c>
      <c r="F1076" s="516" t="s">
        <v>2064</v>
      </c>
      <c r="G1076" s="517">
        <v>2307</v>
      </c>
      <c r="H1076" s="518"/>
      <c r="I1076" s="518"/>
      <c r="J1076" s="518"/>
      <c r="K1076" s="517">
        <f t="shared" si="235"/>
        <v>2307</v>
      </c>
      <c r="L1076" s="518"/>
      <c r="M1076" s="519">
        <f t="shared" si="236"/>
        <v>2307</v>
      </c>
      <c r="N1076" s="520"/>
      <c r="O1076" s="17"/>
      <c r="P1076" s="17"/>
      <c r="Q1076" s="17"/>
      <c r="R1076" s="17"/>
      <c r="S1076" s="519">
        <v>2307</v>
      </c>
      <c r="T1076" s="278"/>
      <c r="V1076" s="6">
        <f t="shared" si="230"/>
        <v>0</v>
      </c>
    </row>
    <row r="1077" spans="1:22" s="26" customFormat="1">
      <c r="A1077" s="513">
        <v>22</v>
      </c>
      <c r="B1077" s="514" t="s">
        <v>2065</v>
      </c>
      <c r="C1077" s="515" t="s">
        <v>1966</v>
      </c>
      <c r="D1077" s="513" t="s">
        <v>1684</v>
      </c>
      <c r="E1077" s="513" t="s">
        <v>55</v>
      </c>
      <c r="F1077" s="516" t="s">
        <v>2066</v>
      </c>
      <c r="G1077" s="517">
        <v>832</v>
      </c>
      <c r="H1077" s="518"/>
      <c r="I1077" s="518"/>
      <c r="J1077" s="518"/>
      <c r="K1077" s="517">
        <f t="shared" si="235"/>
        <v>832</v>
      </c>
      <c r="L1077" s="518"/>
      <c r="M1077" s="519">
        <f t="shared" si="236"/>
        <v>758</v>
      </c>
      <c r="N1077" s="520"/>
      <c r="O1077" s="17"/>
      <c r="P1077" s="17"/>
      <c r="Q1077" s="17"/>
      <c r="R1077" s="17"/>
      <c r="S1077" s="519">
        <v>758</v>
      </c>
      <c r="T1077" s="278"/>
      <c r="V1077" s="6">
        <f t="shared" si="230"/>
        <v>0</v>
      </c>
    </row>
    <row r="1078" spans="1:22" s="26" customFormat="1" ht="30">
      <c r="A1078" s="513">
        <v>23</v>
      </c>
      <c r="B1078" s="514" t="s">
        <v>2067</v>
      </c>
      <c r="C1078" s="515" t="s">
        <v>1946</v>
      </c>
      <c r="D1078" s="513" t="s">
        <v>1684</v>
      </c>
      <c r="E1078" s="513" t="s">
        <v>55</v>
      </c>
      <c r="F1078" s="516" t="s">
        <v>2068</v>
      </c>
      <c r="G1078" s="517">
        <v>1600</v>
      </c>
      <c r="H1078" s="518"/>
      <c r="I1078" s="518"/>
      <c r="J1078" s="518"/>
      <c r="K1078" s="517">
        <f t="shared" si="235"/>
        <v>1600</v>
      </c>
      <c r="L1078" s="518"/>
      <c r="M1078" s="519">
        <f t="shared" si="236"/>
        <v>1516</v>
      </c>
      <c r="N1078" s="520"/>
      <c r="O1078" s="17"/>
      <c r="P1078" s="17"/>
      <c r="Q1078" s="17"/>
      <c r="R1078" s="17"/>
      <c r="S1078" s="519">
        <v>1516</v>
      </c>
      <c r="T1078" s="278"/>
      <c r="V1078" s="6">
        <f t="shared" si="230"/>
        <v>0</v>
      </c>
    </row>
    <row r="1079" spans="1:22" s="26" customFormat="1" ht="30">
      <c r="A1079" s="513">
        <v>24</v>
      </c>
      <c r="B1079" s="514" t="s">
        <v>2069</v>
      </c>
      <c r="C1079" s="515" t="s">
        <v>1980</v>
      </c>
      <c r="D1079" s="513" t="s">
        <v>1684</v>
      </c>
      <c r="E1079" s="513" t="s">
        <v>283</v>
      </c>
      <c r="F1079" s="516" t="s">
        <v>2070</v>
      </c>
      <c r="G1079" s="517">
        <v>14700</v>
      </c>
      <c r="H1079" s="518"/>
      <c r="I1079" s="518"/>
      <c r="J1079" s="518"/>
      <c r="K1079" s="517">
        <f t="shared" si="235"/>
        <v>14700</v>
      </c>
      <c r="L1079" s="518"/>
      <c r="M1079" s="519">
        <f t="shared" si="236"/>
        <v>12796</v>
      </c>
      <c r="N1079" s="520"/>
      <c r="O1079" s="17"/>
      <c r="P1079" s="17"/>
      <c r="Q1079" s="17"/>
      <c r="R1079" s="17"/>
      <c r="S1079" s="519">
        <v>12796</v>
      </c>
      <c r="T1079" s="278"/>
      <c r="V1079" s="6">
        <f t="shared" si="230"/>
        <v>0</v>
      </c>
    </row>
    <row r="1080" spans="1:22" s="26" customFormat="1" ht="30">
      <c r="A1080" s="513">
        <v>25</v>
      </c>
      <c r="B1080" s="514" t="s">
        <v>2071</v>
      </c>
      <c r="C1080" s="515" t="s">
        <v>1980</v>
      </c>
      <c r="D1080" s="513" t="s">
        <v>1684</v>
      </c>
      <c r="E1080" s="513" t="s">
        <v>112</v>
      </c>
      <c r="F1080" s="516" t="s">
        <v>2072</v>
      </c>
      <c r="G1080" s="517">
        <v>21154</v>
      </c>
      <c r="H1080" s="518"/>
      <c r="I1080" s="518"/>
      <c r="J1080" s="518"/>
      <c r="K1080" s="517">
        <f t="shared" si="235"/>
        <v>21154</v>
      </c>
      <c r="L1080" s="518"/>
      <c r="M1080" s="519">
        <f t="shared" si="236"/>
        <v>21154</v>
      </c>
      <c r="N1080" s="520"/>
      <c r="O1080" s="17"/>
      <c r="P1080" s="17"/>
      <c r="Q1080" s="17"/>
      <c r="R1080" s="17"/>
      <c r="S1080" s="519">
        <v>21154</v>
      </c>
      <c r="T1080" s="278"/>
      <c r="V1080" s="6">
        <f t="shared" si="230"/>
        <v>0</v>
      </c>
    </row>
    <row r="1081" spans="1:22" s="26" customFormat="1" ht="30">
      <c r="A1081" s="513">
        <v>26</v>
      </c>
      <c r="B1081" s="514" t="s">
        <v>2073</v>
      </c>
      <c r="C1081" s="515" t="s">
        <v>1955</v>
      </c>
      <c r="D1081" s="513" t="s">
        <v>1684</v>
      </c>
      <c r="E1081" s="513" t="s">
        <v>55</v>
      </c>
      <c r="F1081" s="516" t="s">
        <v>2074</v>
      </c>
      <c r="G1081" s="517">
        <v>790</v>
      </c>
      <c r="H1081" s="518"/>
      <c r="I1081" s="518"/>
      <c r="J1081" s="518"/>
      <c r="K1081" s="517">
        <f t="shared" si="235"/>
        <v>790</v>
      </c>
      <c r="L1081" s="518"/>
      <c r="M1081" s="519">
        <f t="shared" si="236"/>
        <v>818</v>
      </c>
      <c r="N1081" s="520"/>
      <c r="O1081" s="17"/>
      <c r="P1081" s="17"/>
      <c r="Q1081" s="17"/>
      <c r="R1081" s="17"/>
      <c r="S1081" s="519">
        <v>818</v>
      </c>
      <c r="T1081" s="278"/>
      <c r="V1081" s="6">
        <f t="shared" si="230"/>
        <v>0</v>
      </c>
    </row>
    <row r="1082" spans="1:22" s="26" customFormat="1" ht="45">
      <c r="A1082" s="513">
        <v>27</v>
      </c>
      <c r="B1082" s="514" t="s">
        <v>2075</v>
      </c>
      <c r="C1082" s="515" t="s">
        <v>2076</v>
      </c>
      <c r="D1082" s="513" t="s">
        <v>1684</v>
      </c>
      <c r="E1082" s="513" t="s">
        <v>55</v>
      </c>
      <c r="F1082" s="516" t="s">
        <v>2077</v>
      </c>
      <c r="G1082" s="517">
        <v>1030</v>
      </c>
      <c r="H1082" s="518"/>
      <c r="I1082" s="518"/>
      <c r="J1082" s="518"/>
      <c r="K1082" s="517">
        <f t="shared" si="235"/>
        <v>1030</v>
      </c>
      <c r="L1082" s="518"/>
      <c r="M1082" s="519">
        <f t="shared" si="236"/>
        <v>998</v>
      </c>
      <c r="N1082" s="520"/>
      <c r="O1082" s="17"/>
      <c r="P1082" s="17"/>
      <c r="Q1082" s="17"/>
      <c r="R1082" s="17"/>
      <c r="S1082" s="519">
        <v>998</v>
      </c>
      <c r="T1082" s="278"/>
      <c r="V1082" s="6">
        <f t="shared" si="230"/>
        <v>0</v>
      </c>
    </row>
    <row r="1083" spans="1:22" s="26" customFormat="1" ht="30">
      <c r="A1083" s="513">
        <v>28</v>
      </c>
      <c r="B1083" s="83" t="s">
        <v>2078</v>
      </c>
      <c r="C1083" s="515" t="s">
        <v>2079</v>
      </c>
      <c r="D1083" s="513" t="s">
        <v>1684</v>
      </c>
      <c r="E1083" s="513" t="s">
        <v>112</v>
      </c>
      <c r="F1083" s="516" t="s">
        <v>2080</v>
      </c>
      <c r="G1083" s="517">
        <v>3945</v>
      </c>
      <c r="H1083" s="518"/>
      <c r="I1083" s="518"/>
      <c r="J1083" s="518"/>
      <c r="K1083" s="517">
        <f t="shared" si="235"/>
        <v>3945</v>
      </c>
      <c r="L1083" s="518"/>
      <c r="M1083" s="519">
        <f t="shared" si="236"/>
        <v>3464</v>
      </c>
      <c r="N1083" s="520"/>
      <c r="O1083" s="17"/>
      <c r="P1083" s="17"/>
      <c r="Q1083" s="17"/>
      <c r="R1083" s="17"/>
      <c r="S1083" s="519">
        <v>3464</v>
      </c>
      <c r="T1083" s="278"/>
      <c r="V1083" s="6">
        <f t="shared" si="230"/>
        <v>0</v>
      </c>
    </row>
    <row r="1084" spans="1:22" s="26" customFormat="1" ht="30">
      <c r="A1084" s="513">
        <v>29</v>
      </c>
      <c r="B1084" s="83" t="s">
        <v>2081</v>
      </c>
      <c r="C1084" s="515" t="s">
        <v>2023</v>
      </c>
      <c r="D1084" s="513" t="s">
        <v>1684</v>
      </c>
      <c r="E1084" s="513" t="s">
        <v>112</v>
      </c>
      <c r="F1084" s="516" t="s">
        <v>2082</v>
      </c>
      <c r="G1084" s="517">
        <v>1130</v>
      </c>
      <c r="H1084" s="518"/>
      <c r="I1084" s="518"/>
      <c r="J1084" s="518"/>
      <c r="K1084" s="517">
        <f t="shared" si="235"/>
        <v>1130</v>
      </c>
      <c r="L1084" s="518"/>
      <c r="M1084" s="519">
        <f t="shared" si="236"/>
        <v>1089</v>
      </c>
      <c r="N1084" s="520"/>
      <c r="O1084" s="17"/>
      <c r="P1084" s="17"/>
      <c r="Q1084" s="17"/>
      <c r="R1084" s="17"/>
      <c r="S1084" s="519">
        <v>1089</v>
      </c>
      <c r="T1084" s="278"/>
      <c r="V1084" s="6">
        <f t="shared" si="230"/>
        <v>0</v>
      </c>
    </row>
    <row r="1085" spans="1:22" s="26" customFormat="1" ht="30">
      <c r="A1085" s="513">
        <v>30</v>
      </c>
      <c r="B1085" s="83" t="s">
        <v>2083</v>
      </c>
      <c r="C1085" s="515" t="s">
        <v>2023</v>
      </c>
      <c r="D1085" s="513" t="s">
        <v>1684</v>
      </c>
      <c r="E1085" s="513" t="s">
        <v>112</v>
      </c>
      <c r="F1085" s="516" t="s">
        <v>2084</v>
      </c>
      <c r="G1085" s="517">
        <v>898</v>
      </c>
      <c r="H1085" s="518"/>
      <c r="I1085" s="518"/>
      <c r="J1085" s="518"/>
      <c r="K1085" s="517">
        <f t="shared" si="235"/>
        <v>898</v>
      </c>
      <c r="L1085" s="518"/>
      <c r="M1085" s="519">
        <f t="shared" si="236"/>
        <v>801</v>
      </c>
      <c r="N1085" s="520"/>
      <c r="O1085" s="17"/>
      <c r="P1085" s="17"/>
      <c r="Q1085" s="17"/>
      <c r="R1085" s="17"/>
      <c r="S1085" s="519">
        <v>801</v>
      </c>
      <c r="T1085" s="278"/>
      <c r="V1085" s="6">
        <f t="shared" si="230"/>
        <v>0</v>
      </c>
    </row>
    <row r="1086" spans="1:22" s="26" customFormat="1">
      <c r="A1086" s="513">
        <v>31</v>
      </c>
      <c r="B1086" s="83" t="s">
        <v>2085</v>
      </c>
      <c r="C1086" s="515" t="s">
        <v>2023</v>
      </c>
      <c r="D1086" s="513" t="s">
        <v>1684</v>
      </c>
      <c r="E1086" s="513" t="s">
        <v>112</v>
      </c>
      <c r="F1086" s="516" t="s">
        <v>2086</v>
      </c>
      <c r="G1086" s="517">
        <v>1028</v>
      </c>
      <c r="H1086" s="518"/>
      <c r="I1086" s="518"/>
      <c r="J1086" s="518"/>
      <c r="K1086" s="517">
        <f t="shared" si="235"/>
        <v>1028</v>
      </c>
      <c r="L1086" s="518"/>
      <c r="M1086" s="519">
        <f t="shared" si="236"/>
        <v>853</v>
      </c>
      <c r="N1086" s="520"/>
      <c r="O1086" s="17"/>
      <c r="P1086" s="17"/>
      <c r="Q1086" s="17"/>
      <c r="R1086" s="17"/>
      <c r="S1086" s="519">
        <v>853</v>
      </c>
      <c r="T1086" s="278"/>
      <c r="V1086" s="6">
        <f t="shared" si="230"/>
        <v>0</v>
      </c>
    </row>
    <row r="1087" spans="1:22" s="26" customFormat="1">
      <c r="A1087" s="513">
        <v>32</v>
      </c>
      <c r="B1087" s="83" t="s">
        <v>2087</v>
      </c>
      <c r="C1087" s="515" t="s">
        <v>2023</v>
      </c>
      <c r="D1087" s="513" t="s">
        <v>1684</v>
      </c>
      <c r="E1087" s="513" t="s">
        <v>112</v>
      </c>
      <c r="F1087" s="516" t="s">
        <v>2088</v>
      </c>
      <c r="G1087" s="517">
        <v>885</v>
      </c>
      <c r="H1087" s="518"/>
      <c r="I1087" s="518"/>
      <c r="J1087" s="518"/>
      <c r="K1087" s="517">
        <f t="shared" si="235"/>
        <v>885</v>
      </c>
      <c r="L1087" s="518"/>
      <c r="M1087" s="519">
        <f t="shared" si="236"/>
        <v>769</v>
      </c>
      <c r="N1087" s="520"/>
      <c r="O1087" s="17"/>
      <c r="P1087" s="17"/>
      <c r="Q1087" s="17"/>
      <c r="R1087" s="17"/>
      <c r="S1087" s="519">
        <v>769</v>
      </c>
      <c r="T1087" s="278"/>
      <c r="V1087" s="6">
        <f t="shared" si="230"/>
        <v>0</v>
      </c>
    </row>
    <row r="1088" spans="1:22" s="26" customFormat="1" ht="44.25" customHeight="1">
      <c r="A1088" s="513">
        <v>33</v>
      </c>
      <c r="B1088" s="83" t="s">
        <v>2771</v>
      </c>
      <c r="C1088" s="515" t="s">
        <v>2028</v>
      </c>
      <c r="D1088" s="513" t="s">
        <v>1684</v>
      </c>
      <c r="E1088" s="513" t="s">
        <v>112</v>
      </c>
      <c r="F1088" s="516" t="s">
        <v>2089</v>
      </c>
      <c r="G1088" s="517">
        <v>2022</v>
      </c>
      <c r="H1088" s="518"/>
      <c r="I1088" s="518"/>
      <c r="J1088" s="518"/>
      <c r="K1088" s="517">
        <f t="shared" si="235"/>
        <v>2022</v>
      </c>
      <c r="L1088" s="518"/>
      <c r="M1088" s="519">
        <f t="shared" si="236"/>
        <v>0</v>
      </c>
      <c r="N1088" s="520"/>
      <c r="O1088" s="17"/>
      <c r="P1088" s="17"/>
      <c r="Q1088" s="17"/>
      <c r="R1088" s="17"/>
      <c r="S1088" s="519">
        <v>0</v>
      </c>
      <c r="T1088" s="278"/>
      <c r="V1088" s="6">
        <f t="shared" si="230"/>
        <v>0</v>
      </c>
    </row>
    <row r="1089" spans="1:22" s="26" customFormat="1" ht="45">
      <c r="A1089" s="513">
        <v>34</v>
      </c>
      <c r="B1089" s="83" t="s">
        <v>2090</v>
      </c>
      <c r="C1089" s="515" t="s">
        <v>2076</v>
      </c>
      <c r="D1089" s="513" t="s">
        <v>1684</v>
      </c>
      <c r="E1089" s="513" t="s">
        <v>55</v>
      </c>
      <c r="F1089" s="516" t="s">
        <v>2091</v>
      </c>
      <c r="G1089" s="517">
        <v>1150</v>
      </c>
      <c r="H1089" s="518"/>
      <c r="I1089" s="518"/>
      <c r="J1089" s="518"/>
      <c r="K1089" s="517">
        <f t="shared" si="235"/>
        <v>1150</v>
      </c>
      <c r="L1089" s="518"/>
      <c r="M1089" s="519">
        <f t="shared" si="236"/>
        <v>1093</v>
      </c>
      <c r="N1089" s="520"/>
      <c r="O1089" s="17"/>
      <c r="P1089" s="17"/>
      <c r="Q1089" s="17"/>
      <c r="R1089" s="17"/>
      <c r="S1089" s="519">
        <v>1093</v>
      </c>
      <c r="T1089" s="278"/>
      <c r="V1089" s="6">
        <f t="shared" si="230"/>
        <v>0</v>
      </c>
    </row>
    <row r="1090" spans="1:22" s="26" customFormat="1">
      <c r="A1090" s="513">
        <v>35</v>
      </c>
      <c r="B1090" s="83" t="s">
        <v>2092</v>
      </c>
      <c r="C1090" s="515" t="s">
        <v>1958</v>
      </c>
      <c r="D1090" s="513" t="s">
        <v>1684</v>
      </c>
      <c r="E1090" s="513" t="s">
        <v>160</v>
      </c>
      <c r="F1090" s="516" t="s">
        <v>2093</v>
      </c>
      <c r="G1090" s="517">
        <v>4795</v>
      </c>
      <c r="H1090" s="518"/>
      <c r="I1090" s="518"/>
      <c r="J1090" s="518"/>
      <c r="K1090" s="517">
        <f t="shared" si="235"/>
        <v>4795</v>
      </c>
      <c r="L1090" s="518"/>
      <c r="M1090" s="519">
        <f t="shared" si="236"/>
        <v>4452</v>
      </c>
      <c r="N1090" s="520"/>
      <c r="O1090" s="17"/>
      <c r="P1090" s="17"/>
      <c r="Q1090" s="17"/>
      <c r="R1090" s="17"/>
      <c r="S1090" s="519">
        <v>4452</v>
      </c>
      <c r="T1090" s="278"/>
      <c r="V1090" s="6">
        <f t="shared" si="230"/>
        <v>0</v>
      </c>
    </row>
    <row r="1091" spans="1:22" s="26" customFormat="1" ht="30">
      <c r="A1091" s="513">
        <v>36</v>
      </c>
      <c r="B1091" s="83" t="s">
        <v>2094</v>
      </c>
      <c r="C1091" s="515" t="s">
        <v>1966</v>
      </c>
      <c r="D1091" s="513" t="s">
        <v>1684</v>
      </c>
      <c r="E1091" s="513" t="s">
        <v>112</v>
      </c>
      <c r="F1091" s="516" t="s">
        <v>2095</v>
      </c>
      <c r="G1091" s="517">
        <v>5302</v>
      </c>
      <c r="H1091" s="518"/>
      <c r="I1091" s="518"/>
      <c r="J1091" s="518"/>
      <c r="K1091" s="517">
        <f t="shared" si="235"/>
        <v>5302</v>
      </c>
      <c r="L1091" s="518"/>
      <c r="M1091" s="519">
        <f t="shared" si="236"/>
        <v>4438</v>
      </c>
      <c r="N1091" s="520"/>
      <c r="O1091" s="17"/>
      <c r="P1091" s="17"/>
      <c r="Q1091" s="17"/>
      <c r="R1091" s="17"/>
      <c r="S1091" s="519">
        <v>4438</v>
      </c>
      <c r="T1091" s="278"/>
      <c r="V1091" s="6">
        <f t="shared" si="230"/>
        <v>0</v>
      </c>
    </row>
    <row r="1092" spans="1:22" s="26" customFormat="1" ht="30">
      <c r="A1092" s="513">
        <v>37</v>
      </c>
      <c r="B1092" s="83" t="s">
        <v>2096</v>
      </c>
      <c r="C1092" s="515" t="s">
        <v>2023</v>
      </c>
      <c r="D1092" s="513" t="s">
        <v>1684</v>
      </c>
      <c r="E1092" s="513" t="s">
        <v>283</v>
      </c>
      <c r="F1092" s="516" t="s">
        <v>2097</v>
      </c>
      <c r="G1092" s="517">
        <v>25193</v>
      </c>
      <c r="H1092" s="518"/>
      <c r="I1092" s="518"/>
      <c r="J1092" s="518"/>
      <c r="K1092" s="517">
        <f t="shared" si="235"/>
        <v>25193</v>
      </c>
      <c r="L1092" s="518"/>
      <c r="M1092" s="519">
        <f t="shared" si="236"/>
        <v>23443</v>
      </c>
      <c r="N1092" s="520"/>
      <c r="O1092" s="17"/>
      <c r="P1092" s="17"/>
      <c r="Q1092" s="17"/>
      <c r="R1092" s="17"/>
      <c r="S1092" s="519">
        <v>23443</v>
      </c>
      <c r="T1092" s="278"/>
      <c r="V1092" s="6">
        <f t="shared" si="230"/>
        <v>0</v>
      </c>
    </row>
    <row r="1093" spans="1:22" s="26" customFormat="1" ht="30">
      <c r="A1093" s="513">
        <v>38</v>
      </c>
      <c r="B1093" s="83" t="s">
        <v>2098</v>
      </c>
      <c r="C1093" s="515" t="s">
        <v>1980</v>
      </c>
      <c r="D1093" s="513" t="s">
        <v>1684</v>
      </c>
      <c r="E1093" s="513" t="s">
        <v>112</v>
      </c>
      <c r="F1093" s="516" t="s">
        <v>2099</v>
      </c>
      <c r="G1093" s="517">
        <v>14278</v>
      </c>
      <c r="H1093" s="518"/>
      <c r="I1093" s="518"/>
      <c r="J1093" s="518"/>
      <c r="K1093" s="517">
        <f t="shared" si="235"/>
        <v>14278</v>
      </c>
      <c r="L1093" s="518"/>
      <c r="M1093" s="519">
        <f t="shared" si="236"/>
        <v>10710</v>
      </c>
      <c r="N1093" s="520"/>
      <c r="O1093" s="17"/>
      <c r="P1093" s="17"/>
      <c r="Q1093" s="17"/>
      <c r="R1093" s="17"/>
      <c r="S1093" s="519">
        <v>10710</v>
      </c>
      <c r="T1093" s="278"/>
      <c r="V1093" s="6">
        <f t="shared" si="230"/>
        <v>0</v>
      </c>
    </row>
    <row r="1094" spans="1:22" s="26" customFormat="1" ht="30">
      <c r="A1094" s="513">
        <v>39</v>
      </c>
      <c r="B1094" s="83" t="s">
        <v>2100</v>
      </c>
      <c r="C1094" s="515" t="s">
        <v>1949</v>
      </c>
      <c r="D1094" s="513" t="s">
        <v>1684</v>
      </c>
      <c r="E1094" s="513" t="s">
        <v>283</v>
      </c>
      <c r="F1094" s="516" t="s">
        <v>2101</v>
      </c>
      <c r="G1094" s="517">
        <v>14529</v>
      </c>
      <c r="H1094" s="518"/>
      <c r="I1094" s="518"/>
      <c r="J1094" s="518"/>
      <c r="K1094" s="517">
        <f t="shared" si="235"/>
        <v>14529</v>
      </c>
      <c r="L1094" s="518"/>
      <c r="M1094" s="519">
        <f t="shared" si="236"/>
        <v>13788</v>
      </c>
      <c r="N1094" s="520"/>
      <c r="O1094" s="17"/>
      <c r="P1094" s="17"/>
      <c r="Q1094" s="17"/>
      <c r="R1094" s="17"/>
      <c r="S1094" s="519">
        <v>13788</v>
      </c>
      <c r="T1094" s="278"/>
      <c r="V1094" s="6">
        <f t="shared" si="230"/>
        <v>0</v>
      </c>
    </row>
    <row r="1095" spans="1:22" s="26" customFormat="1" ht="60">
      <c r="A1095" s="513">
        <v>40</v>
      </c>
      <c r="B1095" s="83" t="s">
        <v>2102</v>
      </c>
      <c r="C1095" s="515" t="s">
        <v>1974</v>
      </c>
      <c r="D1095" s="513" t="s">
        <v>1684</v>
      </c>
      <c r="E1095" s="513" t="s">
        <v>55</v>
      </c>
      <c r="F1095" s="516" t="s">
        <v>2103</v>
      </c>
      <c r="G1095" s="517">
        <v>1050</v>
      </c>
      <c r="H1095" s="518"/>
      <c r="I1095" s="518"/>
      <c r="J1095" s="518"/>
      <c r="K1095" s="517">
        <f t="shared" si="235"/>
        <v>1050</v>
      </c>
      <c r="L1095" s="518"/>
      <c r="M1095" s="519">
        <f t="shared" si="236"/>
        <v>1045</v>
      </c>
      <c r="N1095" s="520"/>
      <c r="O1095" s="17"/>
      <c r="P1095" s="17"/>
      <c r="Q1095" s="17"/>
      <c r="R1095" s="17"/>
      <c r="S1095" s="519">
        <v>1045</v>
      </c>
      <c r="T1095" s="278"/>
      <c r="V1095" s="6">
        <f t="shared" si="230"/>
        <v>0</v>
      </c>
    </row>
    <row r="1096" spans="1:22" s="26" customFormat="1" ht="30">
      <c r="A1096" s="513">
        <v>41</v>
      </c>
      <c r="B1096" s="83" t="s">
        <v>2104</v>
      </c>
      <c r="C1096" s="515" t="s">
        <v>1955</v>
      </c>
      <c r="D1096" s="513" t="s">
        <v>1684</v>
      </c>
      <c r="E1096" s="513" t="s">
        <v>2105</v>
      </c>
      <c r="F1096" s="516" t="s">
        <v>2106</v>
      </c>
      <c r="G1096" s="517">
        <v>8194</v>
      </c>
      <c r="H1096" s="518"/>
      <c r="I1096" s="518"/>
      <c r="J1096" s="518"/>
      <c r="K1096" s="517">
        <f t="shared" si="235"/>
        <v>8194</v>
      </c>
      <c r="L1096" s="518"/>
      <c r="M1096" s="519">
        <f t="shared" si="236"/>
        <v>7862</v>
      </c>
      <c r="N1096" s="520"/>
      <c r="O1096" s="17"/>
      <c r="P1096" s="17"/>
      <c r="Q1096" s="17"/>
      <c r="R1096" s="17"/>
      <c r="S1096" s="519">
        <v>7862</v>
      </c>
      <c r="T1096" s="278"/>
      <c r="V1096" s="6">
        <f t="shared" si="230"/>
        <v>0</v>
      </c>
    </row>
    <row r="1097" spans="1:22" s="26" customFormat="1" ht="30">
      <c r="A1097" s="513">
        <v>42</v>
      </c>
      <c r="B1097" s="83" t="s">
        <v>2107</v>
      </c>
      <c r="C1097" s="515" t="s">
        <v>1955</v>
      </c>
      <c r="D1097" s="513" t="s">
        <v>1684</v>
      </c>
      <c r="E1097" s="513" t="s">
        <v>47</v>
      </c>
      <c r="F1097" s="516" t="s">
        <v>2108</v>
      </c>
      <c r="G1097" s="517">
        <v>14576</v>
      </c>
      <c r="H1097" s="518"/>
      <c r="I1097" s="518"/>
      <c r="J1097" s="518"/>
      <c r="K1097" s="517">
        <f t="shared" si="235"/>
        <v>14576</v>
      </c>
      <c r="L1097" s="518"/>
      <c r="M1097" s="519">
        <f t="shared" si="236"/>
        <v>13252</v>
      </c>
      <c r="N1097" s="520"/>
      <c r="O1097" s="17"/>
      <c r="P1097" s="17"/>
      <c r="Q1097" s="17"/>
      <c r="R1097" s="17"/>
      <c r="S1097" s="519">
        <v>13252</v>
      </c>
      <c r="T1097" s="278"/>
      <c r="V1097" s="6">
        <f t="shared" si="230"/>
        <v>0</v>
      </c>
    </row>
    <row r="1098" spans="1:22" s="26" customFormat="1">
      <c r="A1098" s="513">
        <v>43</v>
      </c>
      <c r="B1098" s="83" t="s">
        <v>2109</v>
      </c>
      <c r="C1098" s="515" t="s">
        <v>1970</v>
      </c>
      <c r="D1098" s="513" t="s">
        <v>1684</v>
      </c>
      <c r="E1098" s="513" t="s">
        <v>283</v>
      </c>
      <c r="F1098" s="516" t="s">
        <v>2110</v>
      </c>
      <c r="G1098" s="517">
        <v>13633</v>
      </c>
      <c r="H1098" s="518"/>
      <c r="I1098" s="518"/>
      <c r="J1098" s="518"/>
      <c r="K1098" s="517">
        <f t="shared" si="235"/>
        <v>13633</v>
      </c>
      <c r="L1098" s="518"/>
      <c r="M1098" s="519">
        <f t="shared" si="236"/>
        <v>13037</v>
      </c>
      <c r="N1098" s="520"/>
      <c r="O1098" s="17"/>
      <c r="P1098" s="17"/>
      <c r="Q1098" s="17"/>
      <c r="R1098" s="17"/>
      <c r="S1098" s="519">
        <v>13037</v>
      </c>
      <c r="T1098" s="278"/>
      <c r="V1098" s="6">
        <f t="shared" si="230"/>
        <v>0</v>
      </c>
    </row>
    <row r="1099" spans="1:22" s="26" customFormat="1" ht="30">
      <c r="A1099" s="513">
        <v>44</v>
      </c>
      <c r="B1099" s="83" t="s">
        <v>2111</v>
      </c>
      <c r="C1099" s="515" t="s">
        <v>1980</v>
      </c>
      <c r="D1099" s="513" t="s">
        <v>1684</v>
      </c>
      <c r="E1099" s="513" t="s">
        <v>166</v>
      </c>
      <c r="F1099" s="516" t="s">
        <v>2112</v>
      </c>
      <c r="G1099" s="517">
        <v>9199</v>
      </c>
      <c r="H1099" s="518"/>
      <c r="I1099" s="518"/>
      <c r="J1099" s="518"/>
      <c r="K1099" s="517">
        <f t="shared" si="235"/>
        <v>9199</v>
      </c>
      <c r="L1099" s="518"/>
      <c r="M1099" s="519">
        <f t="shared" si="236"/>
        <v>7499</v>
      </c>
      <c r="N1099" s="520"/>
      <c r="O1099" s="17"/>
      <c r="P1099" s="17"/>
      <c r="Q1099" s="17"/>
      <c r="R1099" s="17"/>
      <c r="S1099" s="519">
        <v>7499</v>
      </c>
      <c r="T1099" s="278"/>
      <c r="V1099" s="6">
        <f t="shared" si="230"/>
        <v>0</v>
      </c>
    </row>
    <row r="1100" spans="1:22" s="26" customFormat="1">
      <c r="A1100" s="513">
        <v>45</v>
      </c>
      <c r="B1100" s="83" t="s">
        <v>2113</v>
      </c>
      <c r="C1100" s="515" t="s">
        <v>1980</v>
      </c>
      <c r="D1100" s="513" t="s">
        <v>1684</v>
      </c>
      <c r="E1100" s="513" t="s">
        <v>112</v>
      </c>
      <c r="F1100" s="516" t="s">
        <v>2114</v>
      </c>
      <c r="G1100" s="517">
        <v>21900</v>
      </c>
      <c r="H1100" s="518"/>
      <c r="I1100" s="518"/>
      <c r="J1100" s="518"/>
      <c r="K1100" s="517">
        <f t="shared" si="235"/>
        <v>21900</v>
      </c>
      <c r="L1100" s="518"/>
      <c r="M1100" s="519">
        <f t="shared" si="236"/>
        <v>18409</v>
      </c>
      <c r="N1100" s="520"/>
      <c r="O1100" s="17"/>
      <c r="P1100" s="17"/>
      <c r="Q1100" s="17"/>
      <c r="R1100" s="17"/>
      <c r="S1100" s="519">
        <v>18409</v>
      </c>
      <c r="T1100" s="278"/>
      <c r="V1100" s="6">
        <f t="shared" si="230"/>
        <v>0</v>
      </c>
    </row>
    <row r="1101" spans="1:22" s="26" customFormat="1">
      <c r="A1101" s="513">
        <v>46</v>
      </c>
      <c r="B1101" s="83" t="s">
        <v>2115</v>
      </c>
      <c r="C1101" s="515" t="s">
        <v>1980</v>
      </c>
      <c r="D1101" s="513" t="s">
        <v>1684</v>
      </c>
      <c r="E1101" s="513" t="s">
        <v>112</v>
      </c>
      <c r="F1101" s="516" t="s">
        <v>2116</v>
      </c>
      <c r="G1101" s="517">
        <v>14200</v>
      </c>
      <c r="H1101" s="518"/>
      <c r="I1101" s="518"/>
      <c r="J1101" s="518"/>
      <c r="K1101" s="517">
        <f t="shared" si="235"/>
        <v>14200</v>
      </c>
      <c r="L1101" s="518"/>
      <c r="M1101" s="519">
        <f t="shared" si="236"/>
        <v>12112</v>
      </c>
      <c r="N1101" s="520"/>
      <c r="O1101" s="17"/>
      <c r="P1101" s="17"/>
      <c r="Q1101" s="17"/>
      <c r="R1101" s="17"/>
      <c r="S1101" s="519">
        <v>12112</v>
      </c>
      <c r="T1101" s="278"/>
      <c r="V1101" s="6">
        <f t="shared" si="230"/>
        <v>0</v>
      </c>
    </row>
    <row r="1102" spans="1:22" s="26" customFormat="1" ht="30">
      <c r="A1102" s="513">
        <v>47</v>
      </c>
      <c r="B1102" s="83" t="s">
        <v>2117</v>
      </c>
      <c r="C1102" s="515" t="s">
        <v>1952</v>
      </c>
      <c r="D1102" s="513" t="s">
        <v>1684</v>
      </c>
      <c r="E1102" s="513" t="s">
        <v>47</v>
      </c>
      <c r="F1102" s="516" t="s">
        <v>2118</v>
      </c>
      <c r="G1102" s="517">
        <v>13982</v>
      </c>
      <c r="H1102" s="518"/>
      <c r="I1102" s="518"/>
      <c r="J1102" s="518"/>
      <c r="K1102" s="517">
        <f t="shared" si="235"/>
        <v>13982</v>
      </c>
      <c r="L1102" s="518"/>
      <c r="M1102" s="519">
        <f t="shared" si="236"/>
        <v>13067</v>
      </c>
      <c r="N1102" s="520"/>
      <c r="O1102" s="17"/>
      <c r="P1102" s="17"/>
      <c r="Q1102" s="17"/>
      <c r="R1102" s="17"/>
      <c r="S1102" s="519">
        <v>13067</v>
      </c>
      <c r="T1102" s="278"/>
      <c r="V1102" s="6">
        <f t="shared" si="230"/>
        <v>0</v>
      </c>
    </row>
    <row r="1103" spans="1:22" s="26" customFormat="1" ht="30">
      <c r="A1103" s="513">
        <v>48</v>
      </c>
      <c r="B1103" s="83" t="s">
        <v>2119</v>
      </c>
      <c r="C1103" s="515" t="s">
        <v>2120</v>
      </c>
      <c r="D1103" s="513" t="s">
        <v>1684</v>
      </c>
      <c r="E1103" s="513" t="s">
        <v>47</v>
      </c>
      <c r="F1103" s="516" t="s">
        <v>2121</v>
      </c>
      <c r="G1103" s="517">
        <v>7737</v>
      </c>
      <c r="H1103" s="518"/>
      <c r="I1103" s="518"/>
      <c r="J1103" s="518"/>
      <c r="K1103" s="517">
        <f t="shared" si="235"/>
        <v>7737</v>
      </c>
      <c r="L1103" s="518"/>
      <c r="M1103" s="519">
        <f t="shared" si="236"/>
        <v>7519</v>
      </c>
      <c r="N1103" s="520"/>
      <c r="O1103" s="17"/>
      <c r="P1103" s="17"/>
      <c r="Q1103" s="17"/>
      <c r="R1103" s="17"/>
      <c r="S1103" s="519">
        <v>7519</v>
      </c>
      <c r="T1103" s="278"/>
      <c r="V1103" s="6">
        <f t="shared" si="230"/>
        <v>0</v>
      </c>
    </row>
    <row r="1104" spans="1:22" s="26" customFormat="1" ht="30">
      <c r="A1104" s="513">
        <v>49</v>
      </c>
      <c r="B1104" s="514" t="s">
        <v>2122</v>
      </c>
      <c r="C1104" s="515" t="s">
        <v>2123</v>
      </c>
      <c r="D1104" s="513" t="s">
        <v>1684</v>
      </c>
      <c r="E1104" s="513" t="s">
        <v>112</v>
      </c>
      <c r="F1104" s="516" t="s">
        <v>2124</v>
      </c>
      <c r="G1104" s="517">
        <v>37736</v>
      </c>
      <c r="H1104" s="518"/>
      <c r="I1104" s="518"/>
      <c r="J1104" s="518"/>
      <c r="K1104" s="517">
        <f t="shared" si="235"/>
        <v>37736</v>
      </c>
      <c r="L1104" s="518"/>
      <c r="M1104" s="519">
        <f t="shared" si="236"/>
        <v>9682</v>
      </c>
      <c r="N1104" s="520"/>
      <c r="O1104" s="17"/>
      <c r="P1104" s="17"/>
      <c r="Q1104" s="17"/>
      <c r="R1104" s="17"/>
      <c r="S1104" s="519">
        <v>9682</v>
      </c>
      <c r="T1104" s="278"/>
      <c r="V1104" s="6">
        <f t="shared" si="230"/>
        <v>0</v>
      </c>
    </row>
    <row r="1105" spans="1:22" s="26" customFormat="1" ht="30">
      <c r="A1105" s="513">
        <v>50</v>
      </c>
      <c r="B1105" s="514" t="s">
        <v>2128</v>
      </c>
      <c r="C1105" s="515" t="s">
        <v>1966</v>
      </c>
      <c r="D1105" s="513" t="s">
        <v>1684</v>
      </c>
      <c r="E1105" s="513" t="s">
        <v>55</v>
      </c>
      <c r="F1105" s="516" t="s">
        <v>2129</v>
      </c>
      <c r="G1105" s="517">
        <v>2526</v>
      </c>
      <c r="H1105" s="518"/>
      <c r="I1105" s="518"/>
      <c r="J1105" s="518"/>
      <c r="K1105" s="517">
        <f t="shared" si="235"/>
        <v>2526</v>
      </c>
      <c r="L1105" s="518"/>
      <c r="M1105" s="519">
        <f t="shared" si="236"/>
        <v>2325</v>
      </c>
      <c r="N1105" s="520"/>
      <c r="O1105" s="17"/>
      <c r="P1105" s="17"/>
      <c r="Q1105" s="17"/>
      <c r="R1105" s="17"/>
      <c r="S1105" s="519">
        <v>2325</v>
      </c>
      <c r="T1105" s="278"/>
      <c r="V1105" s="6">
        <f t="shared" si="230"/>
        <v>0</v>
      </c>
    </row>
    <row r="1106" spans="1:22" s="26" customFormat="1" ht="30">
      <c r="A1106" s="513">
        <v>51</v>
      </c>
      <c r="B1106" s="514" t="s">
        <v>2130</v>
      </c>
      <c r="C1106" s="515" t="s">
        <v>2131</v>
      </c>
      <c r="D1106" s="513" t="s">
        <v>1684</v>
      </c>
      <c r="E1106" s="565" t="s">
        <v>542</v>
      </c>
      <c r="F1106" s="516" t="s">
        <v>2132</v>
      </c>
      <c r="G1106" s="517">
        <v>1939</v>
      </c>
      <c r="H1106" s="518"/>
      <c r="I1106" s="518"/>
      <c r="J1106" s="518"/>
      <c r="K1106" s="517">
        <f t="shared" si="235"/>
        <v>1939</v>
      </c>
      <c r="L1106" s="518"/>
      <c r="M1106" s="519">
        <f t="shared" si="236"/>
        <v>1847</v>
      </c>
      <c r="N1106" s="520"/>
      <c r="O1106" s="17"/>
      <c r="P1106" s="17"/>
      <c r="Q1106" s="17"/>
      <c r="R1106" s="17"/>
      <c r="S1106" s="519">
        <v>1847</v>
      </c>
      <c r="T1106" s="278"/>
      <c r="V1106" s="6">
        <f t="shared" si="230"/>
        <v>0</v>
      </c>
    </row>
    <row r="1107" spans="1:22" s="26" customFormat="1" ht="45">
      <c r="A1107" s="513">
        <v>52</v>
      </c>
      <c r="B1107" s="514" t="s">
        <v>2133</v>
      </c>
      <c r="C1107" s="515" t="s">
        <v>2134</v>
      </c>
      <c r="D1107" s="513" t="s">
        <v>1684</v>
      </c>
      <c r="E1107" s="565" t="s">
        <v>542</v>
      </c>
      <c r="F1107" s="516" t="s">
        <v>2135</v>
      </c>
      <c r="G1107" s="517">
        <v>1447</v>
      </c>
      <c r="H1107" s="518"/>
      <c r="I1107" s="518"/>
      <c r="J1107" s="518"/>
      <c r="K1107" s="517">
        <f t="shared" si="235"/>
        <v>1447</v>
      </c>
      <c r="L1107" s="518"/>
      <c r="M1107" s="519">
        <f t="shared" si="236"/>
        <v>1378</v>
      </c>
      <c r="N1107" s="520"/>
      <c r="O1107" s="17"/>
      <c r="P1107" s="17"/>
      <c r="Q1107" s="17"/>
      <c r="R1107" s="17"/>
      <c r="S1107" s="519">
        <v>1378</v>
      </c>
      <c r="T1107" s="278"/>
      <c r="V1107" s="6">
        <f t="shared" si="230"/>
        <v>0</v>
      </c>
    </row>
    <row r="1108" spans="1:22" s="26" customFormat="1" ht="30">
      <c r="A1108" s="513">
        <v>53</v>
      </c>
      <c r="B1108" s="514" t="s">
        <v>2136</v>
      </c>
      <c r="C1108" s="515" t="s">
        <v>1966</v>
      </c>
      <c r="D1108" s="513" t="s">
        <v>1684</v>
      </c>
      <c r="E1108" s="565" t="s">
        <v>542</v>
      </c>
      <c r="F1108" s="516" t="s">
        <v>2137</v>
      </c>
      <c r="G1108" s="517">
        <v>1967</v>
      </c>
      <c r="H1108" s="518"/>
      <c r="I1108" s="518"/>
      <c r="J1108" s="518"/>
      <c r="K1108" s="517">
        <f t="shared" si="235"/>
        <v>1967</v>
      </c>
      <c r="L1108" s="518"/>
      <c r="M1108" s="519">
        <f t="shared" si="236"/>
        <v>1873</v>
      </c>
      <c r="N1108" s="520"/>
      <c r="O1108" s="17"/>
      <c r="P1108" s="17"/>
      <c r="Q1108" s="17"/>
      <c r="R1108" s="17"/>
      <c r="S1108" s="519">
        <v>1873</v>
      </c>
      <c r="T1108" s="278"/>
      <c r="V1108" s="6">
        <f t="shared" ref="V1108:V1171" si="237">G1108-H1108-I1108-J1108-K1108</f>
        <v>0</v>
      </c>
    </row>
    <row r="1109" spans="1:22" s="26" customFormat="1" ht="30">
      <c r="A1109" s="513">
        <v>54</v>
      </c>
      <c r="B1109" s="514" t="s">
        <v>2138</v>
      </c>
      <c r="C1109" s="515" t="s">
        <v>2048</v>
      </c>
      <c r="D1109" s="513" t="s">
        <v>1684</v>
      </c>
      <c r="E1109" s="513" t="s">
        <v>55</v>
      </c>
      <c r="F1109" s="516" t="s">
        <v>2139</v>
      </c>
      <c r="G1109" s="517">
        <v>6026</v>
      </c>
      <c r="H1109" s="518"/>
      <c r="I1109" s="518"/>
      <c r="J1109" s="518"/>
      <c r="K1109" s="517">
        <f t="shared" si="235"/>
        <v>6026</v>
      </c>
      <c r="L1109" s="518"/>
      <c r="M1109" s="519">
        <f t="shared" si="236"/>
        <v>570</v>
      </c>
      <c r="N1109" s="520"/>
      <c r="O1109" s="17"/>
      <c r="P1109" s="17"/>
      <c r="Q1109" s="17"/>
      <c r="R1109" s="17"/>
      <c r="S1109" s="519">
        <v>570</v>
      </c>
      <c r="T1109" s="278"/>
      <c r="V1109" s="6">
        <f t="shared" si="237"/>
        <v>0</v>
      </c>
    </row>
    <row r="1110" spans="1:22" s="26" customFormat="1">
      <c r="A1110" s="513">
        <v>55</v>
      </c>
      <c r="B1110" s="514" t="s">
        <v>2140</v>
      </c>
      <c r="C1110" s="515" t="s">
        <v>1958</v>
      </c>
      <c r="D1110" s="513" t="s">
        <v>1684</v>
      </c>
      <c r="E1110" s="513" t="s">
        <v>55</v>
      </c>
      <c r="F1110" s="516" t="s">
        <v>2141</v>
      </c>
      <c r="G1110" s="517">
        <v>7388</v>
      </c>
      <c r="H1110" s="518"/>
      <c r="I1110" s="518"/>
      <c r="J1110" s="518"/>
      <c r="K1110" s="517">
        <f t="shared" si="235"/>
        <v>7388</v>
      </c>
      <c r="L1110" s="518"/>
      <c r="M1110" s="519">
        <f t="shared" si="236"/>
        <v>4339</v>
      </c>
      <c r="N1110" s="520"/>
      <c r="O1110" s="17"/>
      <c r="P1110" s="17"/>
      <c r="Q1110" s="17"/>
      <c r="R1110" s="17"/>
      <c r="S1110" s="519">
        <v>4339</v>
      </c>
      <c r="T1110" s="278"/>
      <c r="V1110" s="6">
        <f t="shared" si="237"/>
        <v>0</v>
      </c>
    </row>
    <row r="1111" spans="1:22" s="26" customFormat="1" ht="30">
      <c r="A1111" s="513">
        <v>56</v>
      </c>
      <c r="B1111" s="514" t="s">
        <v>2142</v>
      </c>
      <c r="C1111" s="515" t="s">
        <v>1974</v>
      </c>
      <c r="D1111" s="513" t="s">
        <v>1684</v>
      </c>
      <c r="E1111" s="513" t="s">
        <v>55</v>
      </c>
      <c r="F1111" s="516" t="s">
        <v>2143</v>
      </c>
      <c r="G1111" s="517">
        <v>1177</v>
      </c>
      <c r="H1111" s="518"/>
      <c r="I1111" s="518"/>
      <c r="J1111" s="518"/>
      <c r="K1111" s="517">
        <f t="shared" si="235"/>
        <v>1177</v>
      </c>
      <c r="L1111" s="518"/>
      <c r="M1111" s="519">
        <f t="shared" si="236"/>
        <v>1118</v>
      </c>
      <c r="N1111" s="520"/>
      <c r="O1111" s="17"/>
      <c r="P1111" s="17"/>
      <c r="Q1111" s="17"/>
      <c r="R1111" s="17"/>
      <c r="S1111" s="519">
        <v>1118</v>
      </c>
      <c r="T1111" s="278"/>
      <c r="V1111" s="6">
        <f t="shared" si="237"/>
        <v>0</v>
      </c>
    </row>
    <row r="1112" spans="1:22" s="26" customFormat="1" ht="30">
      <c r="A1112" s="513">
        <v>57</v>
      </c>
      <c r="B1112" s="514" t="s">
        <v>1951</v>
      </c>
      <c r="C1112" s="515" t="s">
        <v>2000</v>
      </c>
      <c r="D1112" s="513" t="s">
        <v>1684</v>
      </c>
      <c r="E1112" s="513" t="s">
        <v>1314</v>
      </c>
      <c r="F1112" s="516" t="s">
        <v>2144</v>
      </c>
      <c r="G1112" s="517">
        <v>19500</v>
      </c>
      <c r="H1112" s="518"/>
      <c r="I1112" s="518"/>
      <c r="J1112" s="518"/>
      <c r="K1112" s="517">
        <f t="shared" si="235"/>
        <v>19500</v>
      </c>
      <c r="L1112" s="518"/>
      <c r="M1112" s="519">
        <f t="shared" si="236"/>
        <v>6858</v>
      </c>
      <c r="N1112" s="520"/>
      <c r="O1112" s="17"/>
      <c r="P1112" s="17"/>
      <c r="Q1112" s="17"/>
      <c r="R1112" s="17"/>
      <c r="S1112" s="519">
        <v>6858</v>
      </c>
      <c r="T1112" s="278"/>
      <c r="V1112" s="6">
        <f t="shared" si="237"/>
        <v>0</v>
      </c>
    </row>
    <row r="1113" spans="1:22" s="26" customFormat="1" ht="30">
      <c r="A1113" s="513">
        <v>58</v>
      </c>
      <c r="B1113" s="514" t="s">
        <v>1954</v>
      </c>
      <c r="C1113" s="515" t="s">
        <v>1955</v>
      </c>
      <c r="D1113" s="513" t="s">
        <v>1684</v>
      </c>
      <c r="E1113" s="513" t="s">
        <v>1314</v>
      </c>
      <c r="F1113" s="516" t="s">
        <v>2145</v>
      </c>
      <c r="G1113" s="517">
        <v>1100</v>
      </c>
      <c r="H1113" s="518"/>
      <c r="I1113" s="518"/>
      <c r="J1113" s="518"/>
      <c r="K1113" s="517">
        <f t="shared" si="235"/>
        <v>1100</v>
      </c>
      <c r="L1113" s="518"/>
      <c r="M1113" s="519">
        <f t="shared" si="236"/>
        <v>1000</v>
      </c>
      <c r="N1113" s="520"/>
      <c r="O1113" s="17"/>
      <c r="P1113" s="17"/>
      <c r="Q1113" s="17"/>
      <c r="R1113" s="17"/>
      <c r="S1113" s="519">
        <v>1000</v>
      </c>
      <c r="T1113" s="278"/>
      <c r="V1113" s="6">
        <f t="shared" si="237"/>
        <v>0</v>
      </c>
    </row>
    <row r="1114" spans="1:22" s="26" customFormat="1" ht="30">
      <c r="A1114" s="513">
        <v>59</v>
      </c>
      <c r="B1114" s="514" t="s">
        <v>1956</v>
      </c>
      <c r="C1114" s="515" t="s">
        <v>2000</v>
      </c>
      <c r="D1114" s="513" t="s">
        <v>1684</v>
      </c>
      <c r="E1114" s="513" t="s">
        <v>1314</v>
      </c>
      <c r="F1114" s="516" t="s">
        <v>2146</v>
      </c>
      <c r="G1114" s="517">
        <v>18850</v>
      </c>
      <c r="H1114" s="518"/>
      <c r="I1114" s="518"/>
      <c r="J1114" s="518"/>
      <c r="K1114" s="517">
        <f t="shared" si="235"/>
        <v>18850</v>
      </c>
      <c r="L1114" s="518"/>
      <c r="M1114" s="519">
        <f t="shared" si="236"/>
        <v>7402</v>
      </c>
      <c r="N1114" s="520"/>
      <c r="O1114" s="17"/>
      <c r="P1114" s="17"/>
      <c r="Q1114" s="17"/>
      <c r="R1114" s="17"/>
      <c r="S1114" s="519">
        <v>7402</v>
      </c>
      <c r="T1114" s="278"/>
      <c r="V1114" s="6">
        <f t="shared" si="237"/>
        <v>0</v>
      </c>
    </row>
    <row r="1115" spans="1:22" s="26" customFormat="1" ht="45">
      <c r="A1115" s="513">
        <v>60</v>
      </c>
      <c r="B1115" s="514" t="s">
        <v>1957</v>
      </c>
      <c r="C1115" s="515" t="s">
        <v>2033</v>
      </c>
      <c r="D1115" s="513" t="s">
        <v>1684</v>
      </c>
      <c r="E1115" s="513" t="s">
        <v>1314</v>
      </c>
      <c r="F1115" s="516" t="s">
        <v>2147</v>
      </c>
      <c r="G1115" s="517">
        <v>1100</v>
      </c>
      <c r="H1115" s="518"/>
      <c r="I1115" s="518"/>
      <c r="J1115" s="518"/>
      <c r="K1115" s="517">
        <f t="shared" si="235"/>
        <v>1100</v>
      </c>
      <c r="L1115" s="518"/>
      <c r="M1115" s="519">
        <f t="shared" si="236"/>
        <v>1000</v>
      </c>
      <c r="N1115" s="520"/>
      <c r="O1115" s="17"/>
      <c r="P1115" s="17"/>
      <c r="Q1115" s="17"/>
      <c r="R1115" s="17"/>
      <c r="S1115" s="519">
        <v>1000</v>
      </c>
      <c r="T1115" s="278"/>
      <c r="V1115" s="6">
        <f t="shared" si="237"/>
        <v>0</v>
      </c>
    </row>
    <row r="1116" spans="1:22" s="26" customFormat="1" ht="30">
      <c r="A1116" s="513">
        <v>61</v>
      </c>
      <c r="B1116" s="514" t="s">
        <v>1959</v>
      </c>
      <c r="C1116" s="515" t="s">
        <v>2000</v>
      </c>
      <c r="D1116" s="513" t="s">
        <v>1684</v>
      </c>
      <c r="E1116" s="513" t="s">
        <v>1314</v>
      </c>
      <c r="F1116" s="516" t="s">
        <v>2148</v>
      </c>
      <c r="G1116" s="517">
        <v>14200</v>
      </c>
      <c r="H1116" s="518"/>
      <c r="I1116" s="518"/>
      <c r="J1116" s="518"/>
      <c r="K1116" s="517">
        <f t="shared" si="235"/>
        <v>14200</v>
      </c>
      <c r="L1116" s="518"/>
      <c r="M1116" s="519">
        <f t="shared" si="236"/>
        <v>5789</v>
      </c>
      <c r="N1116" s="520"/>
      <c r="O1116" s="17"/>
      <c r="P1116" s="17"/>
      <c r="Q1116" s="17"/>
      <c r="R1116" s="17"/>
      <c r="S1116" s="519">
        <v>5789</v>
      </c>
      <c r="T1116" s="278"/>
      <c r="V1116" s="6">
        <f t="shared" si="237"/>
        <v>0</v>
      </c>
    </row>
    <row r="1117" spans="1:22" s="26" customFormat="1" ht="30">
      <c r="A1117" s="513">
        <v>62</v>
      </c>
      <c r="B1117" s="514" t="s">
        <v>1960</v>
      </c>
      <c r="C1117" s="515" t="s">
        <v>1961</v>
      </c>
      <c r="D1117" s="513" t="s">
        <v>1684</v>
      </c>
      <c r="E1117" s="513" t="s">
        <v>1314</v>
      </c>
      <c r="F1117" s="516" t="s">
        <v>2149</v>
      </c>
      <c r="G1117" s="517">
        <v>18500</v>
      </c>
      <c r="H1117" s="518"/>
      <c r="I1117" s="518"/>
      <c r="J1117" s="518"/>
      <c r="K1117" s="517">
        <f t="shared" si="235"/>
        <v>18500</v>
      </c>
      <c r="L1117" s="518"/>
      <c r="M1117" s="519">
        <f t="shared" si="236"/>
        <v>7238</v>
      </c>
      <c r="N1117" s="520"/>
      <c r="O1117" s="17"/>
      <c r="P1117" s="17"/>
      <c r="Q1117" s="17"/>
      <c r="R1117" s="17"/>
      <c r="S1117" s="519">
        <v>7238</v>
      </c>
      <c r="T1117" s="278"/>
      <c r="V1117" s="6">
        <f t="shared" si="237"/>
        <v>0</v>
      </c>
    </row>
    <row r="1118" spans="1:22" s="26" customFormat="1" ht="30">
      <c r="A1118" s="513">
        <v>63</v>
      </c>
      <c r="B1118" s="514" t="s">
        <v>1962</v>
      </c>
      <c r="C1118" s="515" t="s">
        <v>1955</v>
      </c>
      <c r="D1118" s="513" t="s">
        <v>1684</v>
      </c>
      <c r="E1118" s="513" t="s">
        <v>1314</v>
      </c>
      <c r="F1118" s="516" t="s">
        <v>2150</v>
      </c>
      <c r="G1118" s="517">
        <v>15000</v>
      </c>
      <c r="H1118" s="518"/>
      <c r="I1118" s="518"/>
      <c r="J1118" s="518"/>
      <c r="K1118" s="517">
        <f t="shared" si="235"/>
        <v>15000</v>
      </c>
      <c r="L1118" s="518"/>
      <c r="M1118" s="519">
        <f t="shared" si="236"/>
        <v>6059</v>
      </c>
      <c r="N1118" s="520"/>
      <c r="O1118" s="17"/>
      <c r="P1118" s="17"/>
      <c r="Q1118" s="17"/>
      <c r="R1118" s="17"/>
      <c r="S1118" s="519">
        <v>6059</v>
      </c>
      <c r="T1118" s="278"/>
      <c r="V1118" s="6">
        <f t="shared" si="237"/>
        <v>0</v>
      </c>
    </row>
    <row r="1119" spans="1:22" s="26" customFormat="1" ht="30">
      <c r="A1119" s="513">
        <v>64</v>
      </c>
      <c r="B1119" s="514" t="s">
        <v>1963</v>
      </c>
      <c r="C1119" s="515" t="s">
        <v>1955</v>
      </c>
      <c r="D1119" s="513" t="s">
        <v>1684</v>
      </c>
      <c r="E1119" s="513" t="s">
        <v>1314</v>
      </c>
      <c r="F1119" s="516" t="s">
        <v>2151</v>
      </c>
      <c r="G1119" s="517">
        <v>15000</v>
      </c>
      <c r="H1119" s="518"/>
      <c r="I1119" s="518"/>
      <c r="J1119" s="518"/>
      <c r="K1119" s="517">
        <f t="shared" si="235"/>
        <v>15000</v>
      </c>
      <c r="L1119" s="518"/>
      <c r="M1119" s="519">
        <f t="shared" si="236"/>
        <v>6059</v>
      </c>
      <c r="N1119" s="520"/>
      <c r="O1119" s="17"/>
      <c r="P1119" s="17"/>
      <c r="Q1119" s="17"/>
      <c r="R1119" s="17"/>
      <c r="S1119" s="519">
        <v>6059</v>
      </c>
      <c r="T1119" s="278"/>
      <c r="V1119" s="6">
        <f t="shared" si="237"/>
        <v>0</v>
      </c>
    </row>
    <row r="1120" spans="1:22" s="26" customFormat="1" ht="30">
      <c r="A1120" s="513">
        <v>65</v>
      </c>
      <c r="B1120" s="514" t="s">
        <v>1964</v>
      </c>
      <c r="C1120" s="515" t="s">
        <v>1955</v>
      </c>
      <c r="D1120" s="513" t="s">
        <v>1684</v>
      </c>
      <c r="E1120" s="513" t="s">
        <v>1314</v>
      </c>
      <c r="F1120" s="516" t="s">
        <v>2152</v>
      </c>
      <c r="G1120" s="517">
        <v>10300</v>
      </c>
      <c r="H1120" s="518"/>
      <c r="I1120" s="518"/>
      <c r="J1120" s="518"/>
      <c r="K1120" s="517">
        <f t="shared" ref="K1120:K1134" si="238">G1120</f>
        <v>10300</v>
      </c>
      <c r="L1120" s="518"/>
      <c r="M1120" s="519">
        <f t="shared" si="236"/>
        <v>5503</v>
      </c>
      <c r="N1120" s="520"/>
      <c r="O1120" s="17"/>
      <c r="P1120" s="17"/>
      <c r="Q1120" s="17"/>
      <c r="R1120" s="17"/>
      <c r="S1120" s="519">
        <v>5503</v>
      </c>
      <c r="T1120" s="278"/>
      <c r="V1120" s="6">
        <f t="shared" si="237"/>
        <v>0</v>
      </c>
    </row>
    <row r="1121" spans="1:22" s="26" customFormat="1" ht="30">
      <c r="A1121" s="513">
        <v>66</v>
      </c>
      <c r="B1121" s="514" t="s">
        <v>1965</v>
      </c>
      <c r="C1121" s="515" t="s">
        <v>1966</v>
      </c>
      <c r="D1121" s="513" t="s">
        <v>1684</v>
      </c>
      <c r="E1121" s="566" t="s">
        <v>1314</v>
      </c>
      <c r="F1121" s="509" t="s">
        <v>2153</v>
      </c>
      <c r="G1121" s="517">
        <v>1100</v>
      </c>
      <c r="H1121" s="518"/>
      <c r="I1121" s="518"/>
      <c r="J1121" s="518"/>
      <c r="K1121" s="517">
        <f t="shared" si="238"/>
        <v>1100</v>
      </c>
      <c r="L1121" s="518"/>
      <c r="M1121" s="519">
        <f t="shared" si="236"/>
        <v>1000</v>
      </c>
      <c r="N1121" s="520"/>
      <c r="O1121" s="17"/>
      <c r="P1121" s="17"/>
      <c r="Q1121" s="17"/>
      <c r="R1121" s="17"/>
      <c r="S1121" s="519">
        <v>1000</v>
      </c>
      <c r="T1121" s="278"/>
      <c r="V1121" s="6">
        <f t="shared" si="237"/>
        <v>0</v>
      </c>
    </row>
    <row r="1122" spans="1:22" s="26" customFormat="1" ht="30">
      <c r="A1122" s="513">
        <v>67</v>
      </c>
      <c r="B1122" s="514" t="s">
        <v>1967</v>
      </c>
      <c r="C1122" s="515" t="s">
        <v>2000</v>
      </c>
      <c r="D1122" s="513" t="s">
        <v>1684</v>
      </c>
      <c r="E1122" s="566" t="s">
        <v>1314</v>
      </c>
      <c r="F1122" s="509" t="s">
        <v>2154</v>
      </c>
      <c r="G1122" s="517">
        <v>15400</v>
      </c>
      <c r="H1122" s="518"/>
      <c r="I1122" s="518"/>
      <c r="J1122" s="518"/>
      <c r="K1122" s="517">
        <f t="shared" si="238"/>
        <v>15400</v>
      </c>
      <c r="L1122" s="518"/>
      <c r="M1122" s="519">
        <f t="shared" si="236"/>
        <v>6193</v>
      </c>
      <c r="N1122" s="520"/>
      <c r="O1122" s="17"/>
      <c r="P1122" s="17"/>
      <c r="Q1122" s="17"/>
      <c r="R1122" s="17"/>
      <c r="S1122" s="519">
        <v>6193</v>
      </c>
      <c r="T1122" s="278"/>
      <c r="V1122" s="6">
        <f t="shared" si="237"/>
        <v>0</v>
      </c>
    </row>
    <row r="1123" spans="1:22" s="26" customFormat="1" ht="45">
      <c r="A1123" s="513">
        <v>68</v>
      </c>
      <c r="B1123" s="514" t="s">
        <v>2155</v>
      </c>
      <c r="C1123" s="513" t="s">
        <v>2000</v>
      </c>
      <c r="D1123" s="513" t="s">
        <v>1684</v>
      </c>
      <c r="E1123" s="513" t="s">
        <v>1314</v>
      </c>
      <c r="F1123" s="513" t="s">
        <v>2156</v>
      </c>
      <c r="G1123" s="567">
        <v>903</v>
      </c>
      <c r="H1123" s="568"/>
      <c r="I1123" s="568"/>
      <c r="J1123" s="568"/>
      <c r="K1123" s="517">
        <f t="shared" si="238"/>
        <v>903</v>
      </c>
      <c r="L1123" s="518"/>
      <c r="M1123" s="569">
        <f t="shared" si="236"/>
        <v>900</v>
      </c>
      <c r="N1123" s="520"/>
      <c r="O1123" s="17"/>
      <c r="P1123" s="17"/>
      <c r="Q1123" s="17"/>
      <c r="R1123" s="17"/>
      <c r="S1123" s="569">
        <v>900</v>
      </c>
      <c r="T1123" s="278"/>
      <c r="V1123" s="6">
        <f t="shared" si="237"/>
        <v>0</v>
      </c>
    </row>
    <row r="1124" spans="1:22" s="26" customFormat="1" ht="30">
      <c r="A1124" s="513">
        <v>69</v>
      </c>
      <c r="B1124" s="568" t="s">
        <v>2157</v>
      </c>
      <c r="C1124" s="513" t="s">
        <v>2158</v>
      </c>
      <c r="D1124" s="513" t="s">
        <v>1684</v>
      </c>
      <c r="E1124" s="513" t="s">
        <v>1314</v>
      </c>
      <c r="F1124" s="513" t="s">
        <v>2159</v>
      </c>
      <c r="G1124" s="567">
        <v>4000</v>
      </c>
      <c r="H1124" s="568"/>
      <c r="I1124" s="568"/>
      <c r="J1124" s="568"/>
      <c r="K1124" s="517">
        <f t="shared" si="238"/>
        <v>4000</v>
      </c>
      <c r="L1124" s="518"/>
      <c r="M1124" s="569">
        <f t="shared" si="236"/>
        <v>2113</v>
      </c>
      <c r="N1124" s="520"/>
      <c r="O1124" s="17"/>
      <c r="P1124" s="17"/>
      <c r="Q1124" s="17"/>
      <c r="R1124" s="17"/>
      <c r="S1124" s="569">
        <v>2113</v>
      </c>
      <c r="T1124" s="278"/>
      <c r="V1124" s="6">
        <f t="shared" si="237"/>
        <v>0</v>
      </c>
    </row>
    <row r="1125" spans="1:22" s="26" customFormat="1" ht="30">
      <c r="A1125" s="513">
        <v>70</v>
      </c>
      <c r="B1125" s="568" t="s">
        <v>2160</v>
      </c>
      <c r="C1125" s="513" t="s">
        <v>1946</v>
      </c>
      <c r="D1125" s="513" t="s">
        <v>1684</v>
      </c>
      <c r="E1125" s="513" t="s">
        <v>1314</v>
      </c>
      <c r="F1125" s="513" t="s">
        <v>2161</v>
      </c>
      <c r="G1125" s="567">
        <v>6000</v>
      </c>
      <c r="H1125" s="568"/>
      <c r="I1125" s="568"/>
      <c r="J1125" s="568"/>
      <c r="K1125" s="517">
        <f t="shared" si="238"/>
        <v>6000</v>
      </c>
      <c r="L1125" s="518"/>
      <c r="M1125" s="569">
        <f t="shared" si="236"/>
        <v>4400</v>
      </c>
      <c r="N1125" s="520"/>
      <c r="O1125" s="17"/>
      <c r="P1125" s="17"/>
      <c r="Q1125" s="17"/>
      <c r="R1125" s="17"/>
      <c r="S1125" s="569">
        <v>4400</v>
      </c>
      <c r="T1125" s="278"/>
      <c r="V1125" s="6">
        <f t="shared" si="237"/>
        <v>0</v>
      </c>
    </row>
    <row r="1126" spans="1:22" s="26" customFormat="1" ht="30">
      <c r="A1126" s="513">
        <v>71</v>
      </c>
      <c r="B1126" s="568" t="s">
        <v>1968</v>
      </c>
      <c r="C1126" s="513" t="s">
        <v>1946</v>
      </c>
      <c r="D1126" s="513" t="s">
        <v>1684</v>
      </c>
      <c r="E1126" s="513" t="s">
        <v>1314</v>
      </c>
      <c r="F1126" s="513" t="s">
        <v>2162</v>
      </c>
      <c r="G1126" s="567">
        <v>1200</v>
      </c>
      <c r="H1126" s="568"/>
      <c r="I1126" s="568"/>
      <c r="J1126" s="568"/>
      <c r="K1126" s="517">
        <f t="shared" si="238"/>
        <v>1200</v>
      </c>
      <c r="L1126" s="518"/>
      <c r="M1126" s="569">
        <f t="shared" si="236"/>
        <v>1100</v>
      </c>
      <c r="N1126" s="520"/>
      <c r="O1126" s="17"/>
      <c r="P1126" s="17"/>
      <c r="Q1126" s="17"/>
      <c r="R1126" s="17"/>
      <c r="S1126" s="569">
        <v>1100</v>
      </c>
      <c r="T1126" s="278"/>
      <c r="V1126" s="6">
        <f t="shared" si="237"/>
        <v>0</v>
      </c>
    </row>
    <row r="1127" spans="1:22" s="26" customFormat="1" ht="23.25" customHeight="1">
      <c r="A1127" s="513">
        <v>72</v>
      </c>
      <c r="B1127" s="570" t="s">
        <v>1969</v>
      </c>
      <c r="C1127" s="513" t="s">
        <v>1961</v>
      </c>
      <c r="D1127" s="513" t="s">
        <v>1684</v>
      </c>
      <c r="E1127" s="513" t="s">
        <v>1314</v>
      </c>
      <c r="F1127" s="513" t="s">
        <v>2163</v>
      </c>
      <c r="G1127" s="567">
        <v>4300</v>
      </c>
      <c r="H1127" s="568"/>
      <c r="I1127" s="568"/>
      <c r="J1127" s="568"/>
      <c r="K1127" s="517">
        <f t="shared" si="238"/>
        <v>4300</v>
      </c>
      <c r="L1127" s="518"/>
      <c r="M1127" s="569">
        <f t="shared" si="236"/>
        <v>4100</v>
      </c>
      <c r="N1127" s="520"/>
      <c r="O1127" s="17"/>
      <c r="P1127" s="17"/>
      <c r="Q1127" s="17"/>
      <c r="R1127" s="17"/>
      <c r="S1127" s="569">
        <v>4100</v>
      </c>
      <c r="T1127" s="278"/>
      <c r="V1127" s="6">
        <f t="shared" si="237"/>
        <v>0</v>
      </c>
    </row>
    <row r="1128" spans="1:22" s="26" customFormat="1" ht="30">
      <c r="A1128" s="513">
        <v>73</v>
      </c>
      <c r="B1128" s="568" t="s">
        <v>1971</v>
      </c>
      <c r="C1128" s="513" t="s">
        <v>1946</v>
      </c>
      <c r="D1128" s="513" t="s">
        <v>1684</v>
      </c>
      <c r="E1128" s="513" t="s">
        <v>1314</v>
      </c>
      <c r="F1128" s="513" t="s">
        <v>2164</v>
      </c>
      <c r="G1128" s="567">
        <v>1100</v>
      </c>
      <c r="H1128" s="568"/>
      <c r="I1128" s="568"/>
      <c r="J1128" s="568"/>
      <c r="K1128" s="517">
        <f t="shared" si="238"/>
        <v>1100</v>
      </c>
      <c r="L1128" s="518"/>
      <c r="M1128" s="569">
        <f t="shared" si="236"/>
        <v>1000</v>
      </c>
      <c r="N1128" s="520"/>
      <c r="O1128" s="17"/>
      <c r="P1128" s="17"/>
      <c r="Q1128" s="17"/>
      <c r="R1128" s="17"/>
      <c r="S1128" s="569">
        <v>1000</v>
      </c>
      <c r="T1128" s="278"/>
      <c r="V1128" s="6">
        <f t="shared" si="237"/>
        <v>0</v>
      </c>
    </row>
    <row r="1129" spans="1:22" s="26" customFormat="1" ht="30">
      <c r="A1129" s="513">
        <v>74</v>
      </c>
      <c r="B1129" s="568" t="s">
        <v>1972</v>
      </c>
      <c r="C1129" s="513" t="s">
        <v>1946</v>
      </c>
      <c r="D1129" s="513" t="s">
        <v>1684</v>
      </c>
      <c r="E1129" s="513" t="s">
        <v>1314</v>
      </c>
      <c r="F1129" s="513" t="s">
        <v>2165</v>
      </c>
      <c r="G1129" s="567">
        <v>1100</v>
      </c>
      <c r="H1129" s="568"/>
      <c r="I1129" s="568"/>
      <c r="J1129" s="568"/>
      <c r="K1129" s="517">
        <f t="shared" si="238"/>
        <v>1100</v>
      </c>
      <c r="L1129" s="518"/>
      <c r="M1129" s="569">
        <f t="shared" si="236"/>
        <v>1000</v>
      </c>
      <c r="N1129" s="520"/>
      <c r="O1129" s="17"/>
      <c r="P1129" s="17"/>
      <c r="Q1129" s="17"/>
      <c r="R1129" s="17"/>
      <c r="S1129" s="569">
        <v>1000</v>
      </c>
      <c r="T1129" s="278"/>
      <c r="V1129" s="6">
        <f t="shared" si="237"/>
        <v>0</v>
      </c>
    </row>
    <row r="1130" spans="1:22" s="26" customFormat="1" ht="30">
      <c r="A1130" s="513">
        <v>75</v>
      </c>
      <c r="B1130" s="568" t="s">
        <v>2166</v>
      </c>
      <c r="C1130" s="513" t="s">
        <v>1961</v>
      </c>
      <c r="D1130" s="513" t="s">
        <v>1684</v>
      </c>
      <c r="E1130" s="513" t="s">
        <v>1314</v>
      </c>
      <c r="F1130" s="513" t="s">
        <v>2167</v>
      </c>
      <c r="G1130" s="567">
        <v>5540</v>
      </c>
      <c r="H1130" s="568"/>
      <c r="I1130" s="568"/>
      <c r="J1130" s="568"/>
      <c r="K1130" s="517">
        <f t="shared" si="238"/>
        <v>5540</v>
      </c>
      <c r="L1130" s="518"/>
      <c r="M1130" s="569">
        <f t="shared" si="236"/>
        <v>5489</v>
      </c>
      <c r="N1130" s="520"/>
      <c r="O1130" s="17"/>
      <c r="P1130" s="17"/>
      <c r="Q1130" s="17"/>
      <c r="R1130" s="17"/>
      <c r="S1130" s="569">
        <v>5489</v>
      </c>
      <c r="T1130" s="278"/>
      <c r="V1130" s="6">
        <f t="shared" si="237"/>
        <v>0</v>
      </c>
    </row>
    <row r="1131" spans="1:22" s="26" customFormat="1" ht="30">
      <c r="A1131" s="513">
        <v>76</v>
      </c>
      <c r="B1131" s="568" t="s">
        <v>1973</v>
      </c>
      <c r="C1131" s="513" t="s">
        <v>1974</v>
      </c>
      <c r="D1131" s="513" t="s">
        <v>1684</v>
      </c>
      <c r="E1131" s="513" t="s">
        <v>1314</v>
      </c>
      <c r="F1131" s="513" t="s">
        <v>2168</v>
      </c>
      <c r="G1131" s="567">
        <v>14468</v>
      </c>
      <c r="H1131" s="568"/>
      <c r="I1131" s="568"/>
      <c r="J1131" s="568"/>
      <c r="K1131" s="517">
        <f t="shared" si="238"/>
        <v>14468</v>
      </c>
      <c r="L1131" s="518"/>
      <c r="M1131" s="569">
        <f t="shared" si="236"/>
        <v>5959</v>
      </c>
      <c r="N1131" s="520"/>
      <c r="O1131" s="17"/>
      <c r="P1131" s="17"/>
      <c r="Q1131" s="17"/>
      <c r="R1131" s="17"/>
      <c r="S1131" s="569">
        <v>5959</v>
      </c>
      <c r="T1131" s="278"/>
      <c r="V1131" s="6">
        <f t="shared" si="237"/>
        <v>0</v>
      </c>
    </row>
    <row r="1132" spans="1:22" s="26" customFormat="1" ht="30">
      <c r="A1132" s="513">
        <v>77</v>
      </c>
      <c r="B1132" s="568" t="s">
        <v>1976</v>
      </c>
      <c r="C1132" s="513" t="s">
        <v>1974</v>
      </c>
      <c r="D1132" s="513" t="s">
        <v>1684</v>
      </c>
      <c r="E1132" s="513" t="s">
        <v>1314</v>
      </c>
      <c r="F1132" s="513" t="s">
        <v>2169</v>
      </c>
      <c r="G1132" s="567">
        <v>13692</v>
      </c>
      <c r="H1132" s="568"/>
      <c r="I1132" s="568"/>
      <c r="J1132" s="568"/>
      <c r="K1132" s="517">
        <f t="shared" si="238"/>
        <v>13692</v>
      </c>
      <c r="L1132" s="518"/>
      <c r="M1132" s="569">
        <f t="shared" si="236"/>
        <v>6139</v>
      </c>
      <c r="N1132" s="520"/>
      <c r="O1132" s="17"/>
      <c r="P1132" s="17"/>
      <c r="Q1132" s="17"/>
      <c r="R1132" s="17"/>
      <c r="S1132" s="569">
        <v>6139</v>
      </c>
      <c r="T1132" s="278"/>
      <c r="V1132" s="6">
        <f t="shared" si="237"/>
        <v>0</v>
      </c>
    </row>
    <row r="1133" spans="1:22" s="26" customFormat="1" ht="30">
      <c r="A1133" s="513">
        <v>78</v>
      </c>
      <c r="B1133" s="568" t="s">
        <v>2170</v>
      </c>
      <c r="C1133" s="513" t="s">
        <v>1974</v>
      </c>
      <c r="D1133" s="513" t="s">
        <v>1684</v>
      </c>
      <c r="E1133" s="513" t="s">
        <v>1314</v>
      </c>
      <c r="F1133" s="513" t="s">
        <v>2171</v>
      </c>
      <c r="G1133" s="567">
        <v>1146</v>
      </c>
      <c r="H1133" s="568"/>
      <c r="I1133" s="568"/>
      <c r="J1133" s="568"/>
      <c r="K1133" s="517">
        <f t="shared" si="238"/>
        <v>1146</v>
      </c>
      <c r="L1133" s="518"/>
      <c r="M1133" s="569">
        <f t="shared" si="236"/>
        <v>1200</v>
      </c>
      <c r="N1133" s="520"/>
      <c r="O1133" s="17"/>
      <c r="P1133" s="17"/>
      <c r="Q1133" s="17"/>
      <c r="R1133" s="17"/>
      <c r="S1133" s="569">
        <v>1200</v>
      </c>
      <c r="T1133" s="278"/>
      <c r="V1133" s="6">
        <f t="shared" si="237"/>
        <v>0</v>
      </c>
    </row>
    <row r="1134" spans="1:22" s="26" customFormat="1" ht="30">
      <c r="A1134" s="513">
        <v>79</v>
      </c>
      <c r="B1134" s="568" t="s">
        <v>2172</v>
      </c>
      <c r="C1134" s="571" t="s">
        <v>1974</v>
      </c>
      <c r="D1134" s="513" t="s">
        <v>1684</v>
      </c>
      <c r="E1134" s="571" t="s">
        <v>1314</v>
      </c>
      <c r="F1134" s="571" t="s">
        <v>2173</v>
      </c>
      <c r="G1134" s="572">
        <v>1174</v>
      </c>
      <c r="H1134" s="573"/>
      <c r="I1134" s="573"/>
      <c r="J1134" s="573"/>
      <c r="K1134" s="517">
        <f t="shared" si="238"/>
        <v>1174</v>
      </c>
      <c r="L1134" s="574"/>
      <c r="M1134" s="575">
        <f t="shared" si="236"/>
        <v>1200</v>
      </c>
      <c r="N1134" s="520"/>
      <c r="O1134" s="17"/>
      <c r="P1134" s="17"/>
      <c r="Q1134" s="17"/>
      <c r="R1134" s="17"/>
      <c r="S1134" s="575">
        <v>1200</v>
      </c>
      <c r="T1134" s="278"/>
      <c r="V1134" s="6">
        <f t="shared" si="237"/>
        <v>0</v>
      </c>
    </row>
    <row r="1135" spans="1:22" ht="42" customHeight="1">
      <c r="A1135" s="468" t="s">
        <v>639</v>
      </c>
      <c r="B1135" s="523" t="s">
        <v>2174</v>
      </c>
      <c r="C1135" s="296"/>
      <c r="D1135" s="296"/>
      <c r="E1135" s="296"/>
      <c r="F1135" s="296"/>
      <c r="G1135" s="576">
        <f t="shared" ref="G1135:K1135" si="239">G1136+G1139</f>
        <v>660931.20747100003</v>
      </c>
      <c r="H1135" s="296"/>
      <c r="I1135" s="296"/>
      <c r="J1135" s="296"/>
      <c r="K1135" s="576">
        <f t="shared" si="239"/>
        <v>660931.20747100003</v>
      </c>
      <c r="L1135" s="296"/>
      <c r="M1135" s="576">
        <f t="shared" si="236"/>
        <v>458592</v>
      </c>
      <c r="N1135" s="297"/>
      <c r="O1135" s="297"/>
      <c r="P1135" s="297"/>
      <c r="Q1135" s="297"/>
      <c r="R1135" s="297"/>
      <c r="S1135" s="577">
        <f>S1136+S1139</f>
        <v>458592</v>
      </c>
      <c r="T1135" s="279"/>
      <c r="V1135" s="6">
        <f t="shared" si="237"/>
        <v>0</v>
      </c>
    </row>
    <row r="1136" spans="1:22" s="26" customFormat="1" ht="27.75" customHeight="1">
      <c r="A1136" s="356" t="s">
        <v>37</v>
      </c>
      <c r="B1136" s="557" t="s">
        <v>1258</v>
      </c>
      <c r="C1136" s="359"/>
      <c r="D1136" s="359"/>
      <c r="E1136" s="558"/>
      <c r="F1136" s="364">
        <f t="shared" ref="F1136:L1136" si="240">F1137</f>
        <v>0</v>
      </c>
      <c r="G1136" s="361">
        <f t="shared" si="240"/>
        <v>4819</v>
      </c>
      <c r="H1136" s="361"/>
      <c r="I1136" s="361"/>
      <c r="J1136" s="361"/>
      <c r="K1136" s="361">
        <f t="shared" si="240"/>
        <v>4819</v>
      </c>
      <c r="L1136" s="365">
        <f t="shared" si="240"/>
        <v>0</v>
      </c>
      <c r="M1136" s="540">
        <f t="shared" si="236"/>
        <v>5521</v>
      </c>
      <c r="N1136" s="211"/>
      <c r="O1136" s="211"/>
      <c r="P1136" s="211"/>
      <c r="Q1136" s="211"/>
      <c r="R1136" s="211"/>
      <c r="S1136" s="362">
        <f>S1137</f>
        <v>5521</v>
      </c>
      <c r="T1136" s="23"/>
      <c r="V1136" s="6">
        <f t="shared" si="237"/>
        <v>0</v>
      </c>
    </row>
    <row r="1137" spans="1:22" s="26" customFormat="1">
      <c r="A1137" s="248" t="s">
        <v>71</v>
      </c>
      <c r="B1137" s="523" t="s">
        <v>1637</v>
      </c>
      <c r="C1137" s="17"/>
      <c r="D1137" s="17"/>
      <c r="E1137" s="17"/>
      <c r="F1137" s="540">
        <f t="shared" ref="F1137:L1137" si="241">SUM(F1138:F1138)</f>
        <v>0</v>
      </c>
      <c r="G1137" s="540">
        <f t="shared" si="241"/>
        <v>4819</v>
      </c>
      <c r="H1137" s="540"/>
      <c r="I1137" s="540"/>
      <c r="J1137" s="540"/>
      <c r="K1137" s="540">
        <f t="shared" si="241"/>
        <v>4819</v>
      </c>
      <c r="L1137" s="540">
        <f t="shared" si="241"/>
        <v>0</v>
      </c>
      <c r="M1137" s="540">
        <f t="shared" si="236"/>
        <v>5521</v>
      </c>
      <c r="N1137" s="24"/>
      <c r="O1137" s="24"/>
      <c r="P1137" s="24"/>
      <c r="Q1137" s="24"/>
      <c r="R1137" s="24"/>
      <c r="S1137" s="540">
        <f>SUM(S1138:S1138)</f>
        <v>5521</v>
      </c>
      <c r="T1137" s="279"/>
      <c r="V1137" s="6">
        <f t="shared" si="237"/>
        <v>0</v>
      </c>
    </row>
    <row r="1138" spans="1:22" s="26" customFormat="1" ht="45">
      <c r="A1138" s="179">
        <v>1</v>
      </c>
      <c r="B1138" s="578" t="s">
        <v>2175</v>
      </c>
      <c r="C1138" s="490" t="s">
        <v>123</v>
      </c>
      <c r="D1138" s="179" t="s">
        <v>31</v>
      </c>
      <c r="E1138" s="15" t="s">
        <v>55</v>
      </c>
      <c r="F1138" s="15" t="s">
        <v>2176</v>
      </c>
      <c r="G1138" s="236">
        <v>4819</v>
      </c>
      <c r="H1138" s="236"/>
      <c r="I1138" s="236"/>
      <c r="J1138" s="236"/>
      <c r="K1138" s="236">
        <v>4819</v>
      </c>
      <c r="L1138" s="542"/>
      <c r="M1138" s="236">
        <f t="shared" si="236"/>
        <v>5521</v>
      </c>
      <c r="N1138" s="24"/>
      <c r="O1138" s="24"/>
      <c r="P1138" s="24"/>
      <c r="Q1138" s="24"/>
      <c r="R1138" s="24"/>
      <c r="S1138" s="236">
        <v>5521</v>
      </c>
      <c r="T1138" s="279"/>
      <c r="V1138" s="6">
        <f t="shared" si="237"/>
        <v>0</v>
      </c>
    </row>
    <row r="1139" spans="1:22" s="26" customFormat="1" ht="23.25" customHeight="1">
      <c r="A1139" s="356" t="s">
        <v>69</v>
      </c>
      <c r="B1139" s="557" t="s">
        <v>871</v>
      </c>
      <c r="C1139" s="359"/>
      <c r="D1139" s="359"/>
      <c r="E1139" s="558"/>
      <c r="F1139" s="364"/>
      <c r="G1139" s="361">
        <f>G1140+G1177+G1170</f>
        <v>656112.20747100003</v>
      </c>
      <c r="H1139" s="361"/>
      <c r="I1139" s="361"/>
      <c r="J1139" s="361"/>
      <c r="K1139" s="361">
        <f>K1140+K1177+K1170</f>
        <v>656112.20747100003</v>
      </c>
      <c r="L1139" s="365">
        <f>L1140+L1177+L1170</f>
        <v>0</v>
      </c>
      <c r="M1139" s="540">
        <f t="shared" ref="M1139:M1197" si="242">SUM(N1139:S1139)</f>
        <v>453071</v>
      </c>
      <c r="N1139" s="211"/>
      <c r="O1139" s="211"/>
      <c r="P1139" s="211"/>
      <c r="Q1139" s="211"/>
      <c r="R1139" s="211"/>
      <c r="S1139" s="362">
        <f>S1140+S1177+S1170</f>
        <v>453071</v>
      </c>
      <c r="T1139" s="23"/>
      <c r="V1139" s="6">
        <f t="shared" si="237"/>
        <v>0</v>
      </c>
    </row>
    <row r="1140" spans="1:22" s="26" customFormat="1">
      <c r="A1140" s="247" t="s">
        <v>71</v>
      </c>
      <c r="B1140" s="309" t="s">
        <v>1981</v>
      </c>
      <c r="C1140" s="17"/>
      <c r="D1140" s="17"/>
      <c r="E1140" s="17"/>
      <c r="F1140" s="540">
        <f>SUM(F1141:F1168)</f>
        <v>0</v>
      </c>
      <c r="G1140" s="540">
        <f>SUM(G1141:G1168)</f>
        <v>352669</v>
      </c>
      <c r="H1140" s="540"/>
      <c r="I1140" s="540"/>
      <c r="J1140" s="540"/>
      <c r="K1140" s="540">
        <f>SUM(K1141:K1168)</f>
        <v>352669</v>
      </c>
      <c r="L1140" s="540">
        <f>SUM(L1141:L1168)</f>
        <v>0</v>
      </c>
      <c r="M1140" s="540">
        <f t="shared" si="242"/>
        <v>297025</v>
      </c>
      <c r="N1140" s="24"/>
      <c r="O1140" s="24"/>
      <c r="P1140" s="24"/>
      <c r="Q1140" s="24"/>
      <c r="R1140" s="24"/>
      <c r="S1140" s="540">
        <f>SUM(S1141:S1169)</f>
        <v>297025</v>
      </c>
      <c r="T1140" s="279"/>
      <c r="V1140" s="6">
        <f t="shared" si="237"/>
        <v>0</v>
      </c>
    </row>
    <row r="1141" spans="1:22" s="26" customFormat="1" ht="30">
      <c r="A1141" s="179">
        <v>1</v>
      </c>
      <c r="B1141" s="579" t="s">
        <v>2177</v>
      </c>
      <c r="C1141" s="179" t="s">
        <v>2178</v>
      </c>
      <c r="D1141" s="179" t="s">
        <v>31</v>
      </c>
      <c r="E1141" s="179" t="s">
        <v>283</v>
      </c>
      <c r="F1141" s="15" t="s">
        <v>2179</v>
      </c>
      <c r="G1141" s="580">
        <v>44935</v>
      </c>
      <c r="H1141" s="580"/>
      <c r="I1141" s="580"/>
      <c r="J1141" s="580"/>
      <c r="K1141" s="27">
        <f t="shared" ref="K1141:K1168" si="243">G1141</f>
        <v>44935</v>
      </c>
      <c r="L1141" s="27"/>
      <c r="M1141" s="236">
        <f t="shared" si="242"/>
        <v>37500</v>
      </c>
      <c r="N1141" s="24"/>
      <c r="O1141" s="24"/>
      <c r="P1141" s="24"/>
      <c r="Q1141" s="24"/>
      <c r="R1141" s="24"/>
      <c r="S1141" s="236">
        <v>37500</v>
      </c>
      <c r="T1141" s="279"/>
      <c r="V1141" s="6">
        <f t="shared" si="237"/>
        <v>0</v>
      </c>
    </row>
    <row r="1142" spans="1:22" s="26" customFormat="1" ht="30">
      <c r="A1142" s="179">
        <v>2</v>
      </c>
      <c r="B1142" s="579" t="s">
        <v>2180</v>
      </c>
      <c r="C1142" s="179" t="s">
        <v>2181</v>
      </c>
      <c r="D1142" s="179" t="s">
        <v>31</v>
      </c>
      <c r="E1142" s="179" t="s">
        <v>2182</v>
      </c>
      <c r="F1142" s="15" t="s">
        <v>2183</v>
      </c>
      <c r="G1142" s="580">
        <v>32944</v>
      </c>
      <c r="H1142" s="580"/>
      <c r="I1142" s="580"/>
      <c r="J1142" s="580"/>
      <c r="K1142" s="27">
        <f t="shared" si="243"/>
        <v>32944</v>
      </c>
      <c r="L1142" s="27"/>
      <c r="M1142" s="236">
        <f t="shared" si="242"/>
        <v>31400</v>
      </c>
      <c r="N1142" s="24"/>
      <c r="O1142" s="24"/>
      <c r="P1142" s="24"/>
      <c r="Q1142" s="24"/>
      <c r="R1142" s="24"/>
      <c r="S1142" s="236">
        <v>31400</v>
      </c>
      <c r="T1142" s="279"/>
      <c r="V1142" s="6">
        <f t="shared" si="237"/>
        <v>0</v>
      </c>
    </row>
    <row r="1143" spans="1:22" s="26" customFormat="1" ht="30">
      <c r="A1143" s="179">
        <v>3</v>
      </c>
      <c r="B1143" s="177" t="s">
        <v>2184</v>
      </c>
      <c r="C1143" s="15" t="s">
        <v>2185</v>
      </c>
      <c r="D1143" s="15" t="s">
        <v>31</v>
      </c>
      <c r="E1143" s="179" t="s">
        <v>283</v>
      </c>
      <c r="F1143" s="15" t="s">
        <v>2186</v>
      </c>
      <c r="G1143" s="580">
        <v>36974</v>
      </c>
      <c r="H1143" s="580"/>
      <c r="I1143" s="580"/>
      <c r="J1143" s="580"/>
      <c r="K1143" s="27">
        <f t="shared" si="243"/>
        <v>36974</v>
      </c>
      <c r="L1143" s="236"/>
      <c r="M1143" s="236">
        <f t="shared" si="242"/>
        <v>32238</v>
      </c>
      <c r="N1143" s="24"/>
      <c r="O1143" s="24"/>
      <c r="P1143" s="24"/>
      <c r="Q1143" s="24"/>
      <c r="R1143" s="24"/>
      <c r="S1143" s="236">
        <v>32238</v>
      </c>
      <c r="T1143" s="279"/>
      <c r="V1143" s="6">
        <f t="shared" si="237"/>
        <v>0</v>
      </c>
    </row>
    <row r="1144" spans="1:22" s="26" customFormat="1" ht="30">
      <c r="A1144" s="179">
        <v>4</v>
      </c>
      <c r="B1144" s="177" t="s">
        <v>2187</v>
      </c>
      <c r="C1144" s="15" t="s">
        <v>123</v>
      </c>
      <c r="D1144" s="15" t="s">
        <v>31</v>
      </c>
      <c r="E1144" s="179" t="s">
        <v>55</v>
      </c>
      <c r="F1144" s="544" t="s">
        <v>2188</v>
      </c>
      <c r="G1144" s="236">
        <v>16955</v>
      </c>
      <c r="H1144" s="236"/>
      <c r="I1144" s="236"/>
      <c r="J1144" s="236"/>
      <c r="K1144" s="27">
        <f t="shared" si="243"/>
        <v>16955</v>
      </c>
      <c r="L1144" s="236"/>
      <c r="M1144" s="236">
        <f t="shared" si="242"/>
        <v>16500</v>
      </c>
      <c r="N1144" s="24"/>
      <c r="O1144" s="24"/>
      <c r="P1144" s="24"/>
      <c r="Q1144" s="24"/>
      <c r="R1144" s="24"/>
      <c r="S1144" s="236">
        <v>16500</v>
      </c>
      <c r="T1144" s="279"/>
      <c r="V1144" s="6">
        <f t="shared" si="237"/>
        <v>0</v>
      </c>
    </row>
    <row r="1145" spans="1:22" s="26" customFormat="1" ht="30">
      <c r="A1145" s="179">
        <v>5</v>
      </c>
      <c r="B1145" s="579" t="s">
        <v>2189</v>
      </c>
      <c r="C1145" s="544" t="s">
        <v>2185</v>
      </c>
      <c r="D1145" s="15" t="s">
        <v>31</v>
      </c>
      <c r="E1145" s="179" t="s">
        <v>1268</v>
      </c>
      <c r="F1145" s="15" t="s">
        <v>2190</v>
      </c>
      <c r="G1145" s="27">
        <v>1265</v>
      </c>
      <c r="H1145" s="27"/>
      <c r="I1145" s="27"/>
      <c r="J1145" s="27"/>
      <c r="K1145" s="27">
        <f t="shared" si="243"/>
        <v>1265</v>
      </c>
      <c r="L1145" s="27"/>
      <c r="M1145" s="236">
        <f t="shared" si="242"/>
        <v>1175</v>
      </c>
      <c r="N1145" s="24"/>
      <c r="O1145" s="24"/>
      <c r="P1145" s="24"/>
      <c r="Q1145" s="24"/>
      <c r="R1145" s="24"/>
      <c r="S1145" s="236">
        <v>1175</v>
      </c>
      <c r="T1145" s="279"/>
      <c r="V1145" s="6">
        <f t="shared" si="237"/>
        <v>0</v>
      </c>
    </row>
    <row r="1146" spans="1:22" s="26" customFormat="1" ht="30">
      <c r="A1146" s="179">
        <v>6</v>
      </c>
      <c r="B1146" s="579" t="s">
        <v>2191</v>
      </c>
      <c r="C1146" s="544" t="s">
        <v>2192</v>
      </c>
      <c r="D1146" s="15" t="s">
        <v>31</v>
      </c>
      <c r="E1146" s="179" t="s">
        <v>1268</v>
      </c>
      <c r="F1146" s="15" t="s">
        <v>2193</v>
      </c>
      <c r="G1146" s="27">
        <v>1204</v>
      </c>
      <c r="H1146" s="27"/>
      <c r="I1146" s="27"/>
      <c r="J1146" s="27"/>
      <c r="K1146" s="27">
        <f t="shared" si="243"/>
        <v>1204</v>
      </c>
      <c r="L1146" s="27"/>
      <c r="M1146" s="236">
        <f t="shared" si="242"/>
        <v>1130</v>
      </c>
      <c r="N1146" s="24"/>
      <c r="O1146" s="24"/>
      <c r="P1146" s="24"/>
      <c r="Q1146" s="24"/>
      <c r="R1146" s="24"/>
      <c r="S1146" s="236">
        <v>1130</v>
      </c>
      <c r="T1146" s="279"/>
      <c r="V1146" s="6">
        <f t="shared" si="237"/>
        <v>0</v>
      </c>
    </row>
    <row r="1147" spans="1:22" s="26" customFormat="1" ht="30">
      <c r="A1147" s="179">
        <v>7</v>
      </c>
      <c r="B1147" s="177" t="s">
        <v>2194</v>
      </c>
      <c r="C1147" s="15" t="s">
        <v>2195</v>
      </c>
      <c r="D1147" s="15" t="s">
        <v>26</v>
      </c>
      <c r="E1147" s="179" t="s">
        <v>149</v>
      </c>
      <c r="F1147" s="179" t="s">
        <v>2196</v>
      </c>
      <c r="G1147" s="27">
        <v>87261</v>
      </c>
      <c r="H1147" s="27"/>
      <c r="I1147" s="27"/>
      <c r="J1147" s="27"/>
      <c r="K1147" s="27">
        <f t="shared" si="243"/>
        <v>87261</v>
      </c>
      <c r="L1147" s="27"/>
      <c r="M1147" s="236">
        <f t="shared" si="242"/>
        <v>58870</v>
      </c>
      <c r="N1147" s="24"/>
      <c r="O1147" s="24"/>
      <c r="P1147" s="24"/>
      <c r="Q1147" s="24"/>
      <c r="R1147" s="24"/>
      <c r="S1147" s="236">
        <v>58870</v>
      </c>
      <c r="T1147" s="279"/>
      <c r="V1147" s="6">
        <f t="shared" si="237"/>
        <v>0</v>
      </c>
    </row>
    <row r="1148" spans="1:22" s="26" customFormat="1" ht="30">
      <c r="A1148" s="179">
        <v>8</v>
      </c>
      <c r="B1148" s="177" t="s">
        <v>2197</v>
      </c>
      <c r="C1148" s="15" t="s">
        <v>2198</v>
      </c>
      <c r="D1148" s="179" t="s">
        <v>31</v>
      </c>
      <c r="E1148" s="179" t="s">
        <v>2199</v>
      </c>
      <c r="F1148" s="179" t="s">
        <v>2200</v>
      </c>
      <c r="G1148" s="27">
        <v>54340</v>
      </c>
      <c r="H1148" s="27"/>
      <c r="I1148" s="27"/>
      <c r="J1148" s="27"/>
      <c r="K1148" s="27">
        <f t="shared" si="243"/>
        <v>54340</v>
      </c>
      <c r="L1148" s="27"/>
      <c r="M1148" s="236">
        <f t="shared" si="242"/>
        <v>46456</v>
      </c>
      <c r="N1148" s="24"/>
      <c r="O1148" s="24"/>
      <c r="P1148" s="24"/>
      <c r="Q1148" s="24"/>
      <c r="R1148" s="24"/>
      <c r="S1148" s="236">
        <v>46456</v>
      </c>
      <c r="T1148" s="279"/>
      <c r="V1148" s="6">
        <f t="shared" si="237"/>
        <v>0</v>
      </c>
    </row>
    <row r="1149" spans="1:22" s="26" customFormat="1" ht="30">
      <c r="A1149" s="179">
        <v>9</v>
      </c>
      <c r="B1149" s="177" t="s">
        <v>2201</v>
      </c>
      <c r="C1149" s="15" t="s">
        <v>2202</v>
      </c>
      <c r="D1149" s="15" t="s">
        <v>31</v>
      </c>
      <c r="E1149" s="179" t="s">
        <v>55</v>
      </c>
      <c r="F1149" s="179" t="s">
        <v>2203</v>
      </c>
      <c r="G1149" s="27">
        <v>2082</v>
      </c>
      <c r="H1149" s="27"/>
      <c r="I1149" s="27"/>
      <c r="J1149" s="27"/>
      <c r="K1149" s="27">
        <f t="shared" si="243"/>
        <v>2082</v>
      </c>
      <c r="L1149" s="236"/>
      <c r="M1149" s="236">
        <f t="shared" si="242"/>
        <v>1996</v>
      </c>
      <c r="N1149" s="24"/>
      <c r="O1149" s="24"/>
      <c r="P1149" s="24"/>
      <c r="Q1149" s="24"/>
      <c r="R1149" s="24"/>
      <c r="S1149" s="236">
        <v>1996</v>
      </c>
      <c r="T1149" s="279"/>
      <c r="V1149" s="6">
        <f t="shared" si="237"/>
        <v>0</v>
      </c>
    </row>
    <row r="1150" spans="1:22" s="26" customFormat="1" ht="30">
      <c r="A1150" s="179">
        <v>10</v>
      </c>
      <c r="B1150" s="177" t="s">
        <v>2204</v>
      </c>
      <c r="C1150" s="15" t="s">
        <v>2195</v>
      </c>
      <c r="D1150" s="15" t="s">
        <v>31</v>
      </c>
      <c r="E1150" s="179" t="s">
        <v>55</v>
      </c>
      <c r="F1150" s="179" t="s">
        <v>2205</v>
      </c>
      <c r="G1150" s="27">
        <v>2338</v>
      </c>
      <c r="H1150" s="27"/>
      <c r="I1150" s="27"/>
      <c r="J1150" s="27"/>
      <c r="K1150" s="27">
        <f t="shared" si="243"/>
        <v>2338</v>
      </c>
      <c r="L1150" s="236"/>
      <c r="M1150" s="236">
        <f t="shared" si="242"/>
        <v>2102</v>
      </c>
      <c r="N1150" s="24"/>
      <c r="O1150" s="24"/>
      <c r="P1150" s="24"/>
      <c r="Q1150" s="24"/>
      <c r="R1150" s="24"/>
      <c r="S1150" s="236">
        <v>2102</v>
      </c>
      <c r="T1150" s="279"/>
      <c r="V1150" s="6">
        <f t="shared" si="237"/>
        <v>0</v>
      </c>
    </row>
    <row r="1151" spans="1:22" s="26" customFormat="1" ht="30">
      <c r="A1151" s="179">
        <v>11</v>
      </c>
      <c r="B1151" s="177" t="s">
        <v>2206</v>
      </c>
      <c r="C1151" s="15" t="s">
        <v>2207</v>
      </c>
      <c r="D1151" s="15" t="s">
        <v>31</v>
      </c>
      <c r="E1151" s="179" t="s">
        <v>1268</v>
      </c>
      <c r="F1151" s="179" t="s">
        <v>2208</v>
      </c>
      <c r="G1151" s="27">
        <v>6537</v>
      </c>
      <c r="H1151" s="27"/>
      <c r="I1151" s="27"/>
      <c r="J1151" s="27"/>
      <c r="K1151" s="27">
        <f t="shared" si="243"/>
        <v>6537</v>
      </c>
      <c r="L1151" s="27"/>
      <c r="M1151" s="236">
        <f t="shared" si="242"/>
        <v>5991</v>
      </c>
      <c r="N1151" s="24"/>
      <c r="O1151" s="24"/>
      <c r="P1151" s="24"/>
      <c r="Q1151" s="24"/>
      <c r="R1151" s="24"/>
      <c r="S1151" s="236">
        <v>5991</v>
      </c>
      <c r="T1151" s="279"/>
      <c r="V1151" s="6">
        <f t="shared" si="237"/>
        <v>0</v>
      </c>
    </row>
    <row r="1152" spans="1:22" s="26" customFormat="1" ht="30">
      <c r="A1152" s="179">
        <v>12</v>
      </c>
      <c r="B1152" s="177" t="s">
        <v>2209</v>
      </c>
      <c r="C1152" s="15" t="s">
        <v>123</v>
      </c>
      <c r="D1152" s="15" t="s">
        <v>31</v>
      </c>
      <c r="E1152" s="179" t="s">
        <v>112</v>
      </c>
      <c r="F1152" s="179" t="s">
        <v>2210</v>
      </c>
      <c r="G1152" s="27">
        <v>22559</v>
      </c>
      <c r="H1152" s="27"/>
      <c r="I1152" s="27"/>
      <c r="J1152" s="27"/>
      <c r="K1152" s="27">
        <f t="shared" si="243"/>
        <v>22559</v>
      </c>
      <c r="L1152" s="265"/>
      <c r="M1152" s="236">
        <f t="shared" si="242"/>
        <v>19678</v>
      </c>
      <c r="N1152" s="24"/>
      <c r="O1152" s="24"/>
      <c r="P1152" s="24"/>
      <c r="Q1152" s="24"/>
      <c r="R1152" s="24"/>
      <c r="S1152" s="236">
        <v>19678</v>
      </c>
      <c r="T1152" s="279"/>
      <c r="V1152" s="6">
        <f t="shared" si="237"/>
        <v>0</v>
      </c>
    </row>
    <row r="1153" spans="1:22" s="26" customFormat="1" ht="30">
      <c r="A1153" s="179">
        <v>13</v>
      </c>
      <c r="B1153" s="177" t="s">
        <v>2211</v>
      </c>
      <c r="C1153" s="544" t="s">
        <v>2202</v>
      </c>
      <c r="D1153" s="15" t="s">
        <v>31</v>
      </c>
      <c r="E1153" s="179" t="s">
        <v>1268</v>
      </c>
      <c r="F1153" s="179" t="s">
        <v>2212</v>
      </c>
      <c r="G1153" s="27">
        <v>3667</v>
      </c>
      <c r="H1153" s="27"/>
      <c r="I1153" s="27"/>
      <c r="J1153" s="27"/>
      <c r="K1153" s="27">
        <f t="shared" si="243"/>
        <v>3667</v>
      </c>
      <c r="L1153" s="265"/>
      <c r="M1153" s="236">
        <f t="shared" si="242"/>
        <v>2895</v>
      </c>
      <c r="N1153" s="24"/>
      <c r="O1153" s="24"/>
      <c r="P1153" s="24"/>
      <c r="Q1153" s="24"/>
      <c r="R1153" s="24"/>
      <c r="S1153" s="236">
        <v>2895</v>
      </c>
      <c r="T1153" s="279"/>
      <c r="V1153" s="6">
        <f t="shared" si="237"/>
        <v>0</v>
      </c>
    </row>
    <row r="1154" spans="1:22" s="26" customFormat="1" ht="30">
      <c r="A1154" s="179">
        <v>14</v>
      </c>
      <c r="B1154" s="177" t="s">
        <v>2213</v>
      </c>
      <c r="C1154" s="544" t="s">
        <v>2198</v>
      </c>
      <c r="D1154" s="15" t="s">
        <v>31</v>
      </c>
      <c r="E1154" s="179" t="s">
        <v>1268</v>
      </c>
      <c r="F1154" s="179" t="s">
        <v>2214</v>
      </c>
      <c r="G1154" s="27">
        <v>4717</v>
      </c>
      <c r="H1154" s="27"/>
      <c r="I1154" s="27"/>
      <c r="J1154" s="27"/>
      <c r="K1154" s="27">
        <f t="shared" si="243"/>
        <v>4717</v>
      </c>
      <c r="L1154" s="265"/>
      <c r="M1154" s="236">
        <f t="shared" si="242"/>
        <v>3767</v>
      </c>
      <c r="N1154" s="24"/>
      <c r="O1154" s="24"/>
      <c r="P1154" s="24"/>
      <c r="Q1154" s="24"/>
      <c r="R1154" s="24"/>
      <c r="S1154" s="236">
        <v>3767</v>
      </c>
      <c r="T1154" s="279"/>
      <c r="V1154" s="6">
        <f t="shared" si="237"/>
        <v>0</v>
      </c>
    </row>
    <row r="1155" spans="1:22" s="26" customFormat="1" ht="30">
      <c r="A1155" s="179">
        <v>15</v>
      </c>
      <c r="B1155" s="177" t="s">
        <v>2215</v>
      </c>
      <c r="C1155" s="544" t="s">
        <v>2178</v>
      </c>
      <c r="D1155" s="15" t="s">
        <v>31</v>
      </c>
      <c r="E1155" s="179" t="s">
        <v>1268</v>
      </c>
      <c r="F1155" s="179" t="s">
        <v>2216</v>
      </c>
      <c r="G1155" s="27">
        <v>4010</v>
      </c>
      <c r="H1155" s="27"/>
      <c r="I1155" s="27"/>
      <c r="J1155" s="27"/>
      <c r="K1155" s="27">
        <f t="shared" si="243"/>
        <v>4010</v>
      </c>
      <c r="L1155" s="265"/>
      <c r="M1155" s="236">
        <f t="shared" si="242"/>
        <v>3646</v>
      </c>
      <c r="N1155" s="24"/>
      <c r="O1155" s="24"/>
      <c r="P1155" s="24"/>
      <c r="Q1155" s="24"/>
      <c r="R1155" s="24"/>
      <c r="S1155" s="236">
        <v>3646</v>
      </c>
      <c r="T1155" s="279"/>
      <c r="V1155" s="6">
        <f t="shared" si="237"/>
        <v>0</v>
      </c>
    </row>
    <row r="1156" spans="1:22" s="26" customFormat="1" ht="30">
      <c r="A1156" s="179">
        <v>16</v>
      </c>
      <c r="B1156" s="579" t="s">
        <v>2217</v>
      </c>
      <c r="C1156" s="544" t="s">
        <v>2202</v>
      </c>
      <c r="D1156" s="15" t="s">
        <v>31</v>
      </c>
      <c r="E1156" s="179" t="s">
        <v>1268</v>
      </c>
      <c r="F1156" s="179" t="s">
        <v>2218</v>
      </c>
      <c r="G1156" s="27">
        <v>2830</v>
      </c>
      <c r="H1156" s="27"/>
      <c r="I1156" s="27"/>
      <c r="J1156" s="27"/>
      <c r="K1156" s="27">
        <f t="shared" si="243"/>
        <v>2830</v>
      </c>
      <c r="L1156" s="265"/>
      <c r="M1156" s="236">
        <f t="shared" si="242"/>
        <v>2630</v>
      </c>
      <c r="N1156" s="24"/>
      <c r="O1156" s="24"/>
      <c r="P1156" s="24"/>
      <c r="Q1156" s="24"/>
      <c r="R1156" s="24"/>
      <c r="S1156" s="236">
        <v>2630</v>
      </c>
      <c r="T1156" s="279"/>
      <c r="V1156" s="6">
        <f t="shared" si="237"/>
        <v>0</v>
      </c>
    </row>
    <row r="1157" spans="1:22" s="26" customFormat="1" ht="30">
      <c r="A1157" s="179">
        <v>17</v>
      </c>
      <c r="B1157" s="579" t="s">
        <v>2219</v>
      </c>
      <c r="C1157" s="544" t="s">
        <v>2198</v>
      </c>
      <c r="D1157" s="15" t="s">
        <v>31</v>
      </c>
      <c r="E1157" s="179" t="s">
        <v>1268</v>
      </c>
      <c r="F1157" s="179" t="s">
        <v>2220</v>
      </c>
      <c r="G1157" s="27">
        <v>4548</v>
      </c>
      <c r="H1157" s="27"/>
      <c r="I1157" s="27"/>
      <c r="J1157" s="27"/>
      <c r="K1157" s="27">
        <f t="shared" si="243"/>
        <v>4548</v>
      </c>
      <c r="L1157" s="265"/>
      <c r="M1157" s="236">
        <f t="shared" si="242"/>
        <v>4080</v>
      </c>
      <c r="N1157" s="24"/>
      <c r="O1157" s="24"/>
      <c r="P1157" s="24"/>
      <c r="Q1157" s="24"/>
      <c r="R1157" s="24"/>
      <c r="S1157" s="236">
        <v>4080</v>
      </c>
      <c r="T1157" s="279"/>
      <c r="V1157" s="6">
        <f t="shared" si="237"/>
        <v>0</v>
      </c>
    </row>
    <row r="1158" spans="1:22" s="26" customFormat="1" ht="30">
      <c r="A1158" s="179">
        <v>18</v>
      </c>
      <c r="B1158" s="579" t="s">
        <v>2221</v>
      </c>
      <c r="C1158" s="544" t="s">
        <v>2178</v>
      </c>
      <c r="D1158" s="15" t="s">
        <v>31</v>
      </c>
      <c r="E1158" s="179" t="s">
        <v>1268</v>
      </c>
      <c r="F1158" s="179" t="s">
        <v>2222</v>
      </c>
      <c r="G1158" s="27">
        <v>2479</v>
      </c>
      <c r="H1158" s="27"/>
      <c r="I1158" s="27"/>
      <c r="J1158" s="27"/>
      <c r="K1158" s="27">
        <f t="shared" si="243"/>
        <v>2479</v>
      </c>
      <c r="L1158" s="265"/>
      <c r="M1158" s="236">
        <f t="shared" si="242"/>
        <v>2360</v>
      </c>
      <c r="N1158" s="24"/>
      <c r="O1158" s="24"/>
      <c r="P1158" s="24"/>
      <c r="Q1158" s="24"/>
      <c r="R1158" s="24"/>
      <c r="S1158" s="236">
        <v>2360</v>
      </c>
      <c r="T1158" s="279"/>
      <c r="V1158" s="6">
        <f t="shared" si="237"/>
        <v>0</v>
      </c>
    </row>
    <row r="1159" spans="1:22" s="26" customFormat="1" ht="30">
      <c r="A1159" s="179">
        <v>19</v>
      </c>
      <c r="B1159" s="579" t="s">
        <v>2223</v>
      </c>
      <c r="C1159" s="544" t="s">
        <v>2207</v>
      </c>
      <c r="D1159" s="15" t="s">
        <v>31</v>
      </c>
      <c r="E1159" s="179" t="s">
        <v>1268</v>
      </c>
      <c r="F1159" s="179" t="s">
        <v>2224</v>
      </c>
      <c r="G1159" s="27">
        <v>1106</v>
      </c>
      <c r="H1159" s="27"/>
      <c r="I1159" s="27"/>
      <c r="J1159" s="27"/>
      <c r="K1159" s="27">
        <f t="shared" si="243"/>
        <v>1106</v>
      </c>
      <c r="L1159" s="265"/>
      <c r="M1159" s="236">
        <f t="shared" si="242"/>
        <v>1003</v>
      </c>
      <c r="N1159" s="24"/>
      <c r="O1159" s="24"/>
      <c r="P1159" s="24"/>
      <c r="Q1159" s="24"/>
      <c r="R1159" s="24"/>
      <c r="S1159" s="236">
        <v>1003</v>
      </c>
      <c r="T1159" s="279"/>
      <c r="V1159" s="6">
        <f t="shared" si="237"/>
        <v>0</v>
      </c>
    </row>
    <row r="1160" spans="1:22" s="26" customFormat="1" ht="30">
      <c r="A1160" s="179">
        <v>20</v>
      </c>
      <c r="B1160" s="177" t="s">
        <v>2225</v>
      </c>
      <c r="C1160" s="15" t="s">
        <v>2226</v>
      </c>
      <c r="D1160" s="15"/>
      <c r="E1160" s="179" t="s">
        <v>414</v>
      </c>
      <c r="F1160" s="15" t="s">
        <v>2227</v>
      </c>
      <c r="G1160" s="27">
        <v>1253</v>
      </c>
      <c r="H1160" s="27"/>
      <c r="I1160" s="27"/>
      <c r="J1160" s="27"/>
      <c r="K1160" s="27">
        <f t="shared" si="243"/>
        <v>1253</v>
      </c>
      <c r="L1160" s="236"/>
      <c r="M1160" s="236">
        <f t="shared" si="242"/>
        <v>1198</v>
      </c>
      <c r="N1160" s="24"/>
      <c r="O1160" s="24"/>
      <c r="P1160" s="24"/>
      <c r="Q1160" s="24"/>
      <c r="R1160" s="24"/>
      <c r="S1160" s="236">
        <v>1198</v>
      </c>
      <c r="T1160" s="279"/>
      <c r="V1160" s="6">
        <f t="shared" si="237"/>
        <v>0</v>
      </c>
    </row>
    <row r="1161" spans="1:22" s="26" customFormat="1" ht="30">
      <c r="A1161" s="179">
        <v>21</v>
      </c>
      <c r="B1161" s="177" t="s">
        <v>2228</v>
      </c>
      <c r="C1161" s="15" t="s">
        <v>2229</v>
      </c>
      <c r="D1161" s="15"/>
      <c r="E1161" s="179" t="s">
        <v>2230</v>
      </c>
      <c r="F1161" s="15" t="s">
        <v>2231</v>
      </c>
      <c r="G1161" s="27">
        <v>1167</v>
      </c>
      <c r="H1161" s="27"/>
      <c r="I1161" s="27"/>
      <c r="J1161" s="27"/>
      <c r="K1161" s="27">
        <f t="shared" si="243"/>
        <v>1167</v>
      </c>
      <c r="L1161" s="236"/>
      <c r="M1161" s="236">
        <f t="shared" si="242"/>
        <v>1088</v>
      </c>
      <c r="N1161" s="24"/>
      <c r="O1161" s="24"/>
      <c r="P1161" s="24"/>
      <c r="Q1161" s="24"/>
      <c r="R1161" s="24"/>
      <c r="S1161" s="236">
        <v>1088</v>
      </c>
      <c r="T1161" s="279"/>
      <c r="V1161" s="6">
        <f t="shared" si="237"/>
        <v>0</v>
      </c>
    </row>
    <row r="1162" spans="1:22" s="26" customFormat="1" ht="30">
      <c r="A1162" s="179">
        <v>22</v>
      </c>
      <c r="B1162" s="177" t="s">
        <v>2232</v>
      </c>
      <c r="C1162" s="15" t="s">
        <v>2233</v>
      </c>
      <c r="D1162" s="15"/>
      <c r="E1162" s="179" t="s">
        <v>2234</v>
      </c>
      <c r="F1162" s="15" t="s">
        <v>2235</v>
      </c>
      <c r="G1162" s="27">
        <v>1212</v>
      </c>
      <c r="H1162" s="27"/>
      <c r="I1162" s="27"/>
      <c r="J1162" s="27"/>
      <c r="K1162" s="27">
        <f t="shared" si="243"/>
        <v>1212</v>
      </c>
      <c r="L1162" s="236"/>
      <c r="M1162" s="236">
        <f t="shared" si="242"/>
        <v>1131</v>
      </c>
      <c r="N1162" s="24"/>
      <c r="O1162" s="24"/>
      <c r="P1162" s="24"/>
      <c r="Q1162" s="24"/>
      <c r="R1162" s="24"/>
      <c r="S1162" s="236">
        <v>1131</v>
      </c>
      <c r="T1162" s="23"/>
      <c r="V1162" s="6">
        <f t="shared" si="237"/>
        <v>0</v>
      </c>
    </row>
    <row r="1163" spans="1:22" s="26" customFormat="1" ht="30">
      <c r="A1163" s="179">
        <v>23</v>
      </c>
      <c r="B1163" s="177" t="s">
        <v>2236</v>
      </c>
      <c r="C1163" s="15" t="s">
        <v>2237</v>
      </c>
      <c r="D1163" s="15"/>
      <c r="E1163" s="179" t="s">
        <v>2238</v>
      </c>
      <c r="F1163" s="15" t="s">
        <v>2239</v>
      </c>
      <c r="G1163" s="27">
        <v>741</v>
      </c>
      <c r="H1163" s="27"/>
      <c r="I1163" s="27"/>
      <c r="J1163" s="27"/>
      <c r="K1163" s="27">
        <f t="shared" si="243"/>
        <v>741</v>
      </c>
      <c r="L1163" s="236"/>
      <c r="M1163" s="236">
        <f t="shared" si="242"/>
        <v>717</v>
      </c>
      <c r="N1163" s="24"/>
      <c r="O1163" s="24"/>
      <c r="P1163" s="24"/>
      <c r="Q1163" s="24"/>
      <c r="R1163" s="24"/>
      <c r="S1163" s="236">
        <v>717</v>
      </c>
      <c r="T1163" s="23"/>
      <c r="V1163" s="6">
        <f t="shared" si="237"/>
        <v>0</v>
      </c>
    </row>
    <row r="1164" spans="1:22" s="26" customFormat="1" ht="30">
      <c r="A1164" s="179">
        <v>24</v>
      </c>
      <c r="B1164" s="177" t="s">
        <v>2240</v>
      </c>
      <c r="C1164" s="15" t="s">
        <v>2241</v>
      </c>
      <c r="D1164" s="15"/>
      <c r="E1164" s="179" t="s">
        <v>2230</v>
      </c>
      <c r="F1164" s="15" t="s">
        <v>2242</v>
      </c>
      <c r="G1164" s="27">
        <v>723</v>
      </c>
      <c r="H1164" s="27"/>
      <c r="I1164" s="27"/>
      <c r="J1164" s="27"/>
      <c r="K1164" s="27">
        <f t="shared" si="243"/>
        <v>723</v>
      </c>
      <c r="L1164" s="236"/>
      <c r="M1164" s="236">
        <f t="shared" si="242"/>
        <v>676</v>
      </c>
      <c r="N1164" s="24"/>
      <c r="O1164" s="24"/>
      <c r="P1164" s="24"/>
      <c r="Q1164" s="24"/>
      <c r="R1164" s="24"/>
      <c r="S1164" s="236">
        <v>676</v>
      </c>
      <c r="T1164" s="23"/>
      <c r="V1164" s="6">
        <f t="shared" si="237"/>
        <v>0</v>
      </c>
    </row>
    <row r="1165" spans="1:22" s="26" customFormat="1" ht="30">
      <c r="A1165" s="179">
        <v>25</v>
      </c>
      <c r="B1165" s="177" t="s">
        <v>2243</v>
      </c>
      <c r="C1165" s="15" t="s">
        <v>2244</v>
      </c>
      <c r="D1165" s="15"/>
      <c r="E1165" s="179" t="s">
        <v>414</v>
      </c>
      <c r="F1165" s="15" t="s">
        <v>2245</v>
      </c>
      <c r="G1165" s="27">
        <v>1003</v>
      </c>
      <c r="H1165" s="27"/>
      <c r="I1165" s="27"/>
      <c r="J1165" s="27"/>
      <c r="K1165" s="27">
        <f t="shared" si="243"/>
        <v>1003</v>
      </c>
      <c r="L1165" s="236"/>
      <c r="M1165" s="236">
        <f t="shared" si="242"/>
        <v>1166</v>
      </c>
      <c r="N1165" s="24"/>
      <c r="O1165" s="24"/>
      <c r="P1165" s="24"/>
      <c r="Q1165" s="24"/>
      <c r="R1165" s="24"/>
      <c r="S1165" s="236">
        <v>1166</v>
      </c>
      <c r="T1165" s="23"/>
      <c r="V1165" s="6">
        <f t="shared" si="237"/>
        <v>0</v>
      </c>
    </row>
    <row r="1166" spans="1:22" s="26" customFormat="1" ht="30">
      <c r="A1166" s="179">
        <v>26</v>
      </c>
      <c r="B1166" s="177" t="s">
        <v>2246</v>
      </c>
      <c r="C1166" s="15" t="s">
        <v>2237</v>
      </c>
      <c r="D1166" s="15" t="s">
        <v>31</v>
      </c>
      <c r="E1166" s="179" t="s">
        <v>2238</v>
      </c>
      <c r="F1166" s="15" t="s">
        <v>2247</v>
      </c>
      <c r="G1166" s="27">
        <v>715</v>
      </c>
      <c r="H1166" s="27"/>
      <c r="I1166" s="27"/>
      <c r="J1166" s="27"/>
      <c r="K1166" s="27">
        <f t="shared" si="243"/>
        <v>715</v>
      </c>
      <c r="L1166" s="27"/>
      <c r="M1166" s="236">
        <f t="shared" si="242"/>
        <v>680</v>
      </c>
      <c r="N1166" s="24"/>
      <c r="O1166" s="24"/>
      <c r="P1166" s="24"/>
      <c r="Q1166" s="24"/>
      <c r="R1166" s="24"/>
      <c r="S1166" s="236">
        <v>680</v>
      </c>
      <c r="T1166" s="23"/>
      <c r="V1166" s="6">
        <f t="shared" si="237"/>
        <v>0</v>
      </c>
    </row>
    <row r="1167" spans="1:22" s="26" customFormat="1" ht="30">
      <c r="A1167" s="179">
        <v>27</v>
      </c>
      <c r="B1167" s="177" t="s">
        <v>2248</v>
      </c>
      <c r="C1167" s="15" t="s">
        <v>2249</v>
      </c>
      <c r="D1167" s="15" t="s">
        <v>31</v>
      </c>
      <c r="E1167" s="179" t="s">
        <v>2250</v>
      </c>
      <c r="F1167" s="179" t="s">
        <v>2251</v>
      </c>
      <c r="G1167" s="27">
        <v>6393</v>
      </c>
      <c r="H1167" s="27"/>
      <c r="I1167" s="27"/>
      <c r="J1167" s="27"/>
      <c r="K1167" s="27">
        <f t="shared" si="243"/>
        <v>6393</v>
      </c>
      <c r="L1167" s="265"/>
      <c r="M1167" s="236">
        <f t="shared" si="242"/>
        <v>6452</v>
      </c>
      <c r="N1167" s="24"/>
      <c r="O1167" s="24"/>
      <c r="P1167" s="24"/>
      <c r="Q1167" s="24"/>
      <c r="R1167" s="24"/>
      <c r="S1167" s="236">
        <v>6452</v>
      </c>
      <c r="T1167" s="23"/>
      <c r="V1167" s="6">
        <f t="shared" si="237"/>
        <v>0</v>
      </c>
    </row>
    <row r="1168" spans="1:22" s="26" customFormat="1" ht="30">
      <c r="A1168" s="179">
        <v>28</v>
      </c>
      <c r="B1168" s="177" t="s">
        <v>2252</v>
      </c>
      <c r="C1168" s="15" t="s">
        <v>2178</v>
      </c>
      <c r="D1168" s="15" t="s">
        <v>31</v>
      </c>
      <c r="E1168" s="179" t="s">
        <v>112</v>
      </c>
      <c r="F1168" s="179" t="s">
        <v>2253</v>
      </c>
      <c r="G1168" s="27">
        <v>6711</v>
      </c>
      <c r="H1168" s="27"/>
      <c r="I1168" s="27"/>
      <c r="J1168" s="27"/>
      <c r="K1168" s="27">
        <f t="shared" si="243"/>
        <v>6711</v>
      </c>
      <c r="L1168" s="265"/>
      <c r="M1168" s="236">
        <f t="shared" si="242"/>
        <v>5500</v>
      </c>
      <c r="N1168" s="24"/>
      <c r="O1168" s="24"/>
      <c r="P1168" s="24"/>
      <c r="Q1168" s="24"/>
      <c r="R1168" s="24"/>
      <c r="S1168" s="236">
        <v>5500</v>
      </c>
      <c r="T1168" s="23"/>
      <c r="V1168" s="6">
        <f t="shared" si="237"/>
        <v>0</v>
      </c>
    </row>
    <row r="1169" spans="1:22" s="26" customFormat="1" ht="30">
      <c r="A1169" s="204">
        <v>29</v>
      </c>
      <c r="B1169" s="177" t="s">
        <v>2254</v>
      </c>
      <c r="C1169" s="15" t="s">
        <v>123</v>
      </c>
      <c r="D1169" s="15"/>
      <c r="E1169" s="15">
        <v>2025</v>
      </c>
      <c r="F1169" s="521"/>
      <c r="G1169" s="27"/>
      <c r="H1169" s="27"/>
      <c r="I1169" s="27"/>
      <c r="J1169" s="27"/>
      <c r="K1169" s="27"/>
      <c r="L1169" s="522"/>
      <c r="M1169" s="236">
        <f>SUM(N1169:S1169)</f>
        <v>3000</v>
      </c>
      <c r="N1169" s="24"/>
      <c r="O1169" s="24"/>
      <c r="P1169" s="24"/>
      <c r="Q1169" s="24"/>
      <c r="R1169" s="24"/>
      <c r="S1169" s="236">
        <v>3000</v>
      </c>
      <c r="T1169" s="23"/>
      <c r="V1169" s="6">
        <f t="shared" si="237"/>
        <v>0</v>
      </c>
    </row>
    <row r="1170" spans="1:22" s="26" customFormat="1">
      <c r="A1170" s="581" t="s">
        <v>82</v>
      </c>
      <c r="B1170" s="523" t="s">
        <v>83</v>
      </c>
      <c r="C1170" s="248"/>
      <c r="D1170" s="248"/>
      <c r="E1170" s="248"/>
      <c r="F1170" s="582"/>
      <c r="G1170" s="553">
        <f t="shared" ref="G1170:L1170" si="244">SUM(G1171:G1176)</f>
        <v>52568</v>
      </c>
      <c r="H1170" s="553"/>
      <c r="I1170" s="553"/>
      <c r="J1170" s="553"/>
      <c r="K1170" s="553">
        <f t="shared" si="244"/>
        <v>52568</v>
      </c>
      <c r="L1170" s="553">
        <f t="shared" si="244"/>
        <v>0</v>
      </c>
      <c r="M1170" s="576">
        <f t="shared" si="242"/>
        <v>48556</v>
      </c>
      <c r="N1170" s="24"/>
      <c r="O1170" s="24"/>
      <c r="P1170" s="24"/>
      <c r="Q1170" s="24"/>
      <c r="R1170" s="24"/>
      <c r="S1170" s="576">
        <f>SUM(S1171:S1176)</f>
        <v>48556</v>
      </c>
      <c r="T1170" s="23"/>
      <c r="V1170" s="6">
        <f t="shared" si="237"/>
        <v>0</v>
      </c>
    </row>
    <row r="1171" spans="1:22" s="26" customFormat="1" ht="30">
      <c r="A1171" s="583">
        <v>1</v>
      </c>
      <c r="B1171" s="177" t="s">
        <v>2256</v>
      </c>
      <c r="C1171" s="15" t="s">
        <v>2202</v>
      </c>
      <c r="D1171" s="15" t="s">
        <v>31</v>
      </c>
      <c r="E1171" s="179" t="s">
        <v>112</v>
      </c>
      <c r="F1171" s="179" t="s">
        <v>2257</v>
      </c>
      <c r="G1171" s="27">
        <v>10060</v>
      </c>
      <c r="H1171" s="27"/>
      <c r="I1171" s="27"/>
      <c r="J1171" s="27"/>
      <c r="K1171" s="236">
        <f t="shared" ref="K1171:K1176" si="245">G1171</f>
        <v>10060</v>
      </c>
      <c r="L1171" s="265"/>
      <c r="M1171" s="236">
        <f t="shared" si="242"/>
        <v>7620</v>
      </c>
      <c r="N1171" s="24"/>
      <c r="O1171" s="24"/>
      <c r="P1171" s="24"/>
      <c r="Q1171" s="24"/>
      <c r="R1171" s="24"/>
      <c r="S1171" s="236">
        <v>7620</v>
      </c>
      <c r="T1171" s="23"/>
      <c r="V1171" s="6">
        <f t="shared" si="237"/>
        <v>0</v>
      </c>
    </row>
    <row r="1172" spans="1:22" s="26" customFormat="1" ht="30">
      <c r="A1172" s="583">
        <v>2</v>
      </c>
      <c r="B1172" s="177" t="s">
        <v>2258</v>
      </c>
      <c r="C1172" s="544" t="s">
        <v>123</v>
      </c>
      <c r="D1172" s="15" t="s">
        <v>31</v>
      </c>
      <c r="E1172" s="179" t="s">
        <v>1268</v>
      </c>
      <c r="F1172" s="179" t="s">
        <v>2259</v>
      </c>
      <c r="G1172" s="27">
        <v>10910</v>
      </c>
      <c r="H1172" s="27"/>
      <c r="I1172" s="27"/>
      <c r="J1172" s="27"/>
      <c r="K1172" s="236">
        <f t="shared" si="245"/>
        <v>10910</v>
      </c>
      <c r="L1172" s="265"/>
      <c r="M1172" s="236">
        <f t="shared" si="242"/>
        <v>10701</v>
      </c>
      <c r="N1172" s="24"/>
      <c r="O1172" s="24"/>
      <c r="P1172" s="24"/>
      <c r="Q1172" s="24"/>
      <c r="R1172" s="24"/>
      <c r="S1172" s="236">
        <v>10701</v>
      </c>
      <c r="T1172" s="23"/>
      <c r="V1172" s="6">
        <f t="shared" ref="V1172:V1235" si="246">G1172-H1172-I1172-J1172-K1172</f>
        <v>0</v>
      </c>
    </row>
    <row r="1173" spans="1:22" s="26" customFormat="1" ht="30">
      <c r="A1173" s="583">
        <v>3</v>
      </c>
      <c r="B1173" s="177" t="s">
        <v>2260</v>
      </c>
      <c r="C1173" s="544" t="s">
        <v>2185</v>
      </c>
      <c r="D1173" s="15" t="s">
        <v>31</v>
      </c>
      <c r="E1173" s="179" t="s">
        <v>1268</v>
      </c>
      <c r="F1173" s="179" t="s">
        <v>2261</v>
      </c>
      <c r="G1173" s="27">
        <v>10961</v>
      </c>
      <c r="H1173" s="27"/>
      <c r="I1173" s="27"/>
      <c r="J1173" s="27"/>
      <c r="K1173" s="236">
        <f t="shared" si="245"/>
        <v>10961</v>
      </c>
      <c r="L1173" s="265"/>
      <c r="M1173" s="236">
        <f t="shared" si="242"/>
        <v>10080</v>
      </c>
      <c r="N1173" s="24"/>
      <c r="O1173" s="24"/>
      <c r="P1173" s="24"/>
      <c r="Q1173" s="24"/>
      <c r="R1173" s="24"/>
      <c r="S1173" s="236">
        <v>10080</v>
      </c>
      <c r="T1173" s="23"/>
      <c r="V1173" s="6">
        <f t="shared" si="246"/>
        <v>0</v>
      </c>
    </row>
    <row r="1174" spans="1:22" s="26" customFormat="1" ht="30">
      <c r="A1174" s="583">
        <v>4</v>
      </c>
      <c r="B1174" s="177" t="s">
        <v>2262</v>
      </c>
      <c r="C1174" s="544" t="s">
        <v>2192</v>
      </c>
      <c r="D1174" s="15" t="s">
        <v>31</v>
      </c>
      <c r="E1174" s="179" t="s">
        <v>1268</v>
      </c>
      <c r="F1174" s="179" t="s">
        <v>2263</v>
      </c>
      <c r="G1174" s="27">
        <v>7551</v>
      </c>
      <c r="H1174" s="27"/>
      <c r="I1174" s="27"/>
      <c r="J1174" s="27"/>
      <c r="K1174" s="236">
        <f t="shared" si="245"/>
        <v>7551</v>
      </c>
      <c r="L1174" s="265"/>
      <c r="M1174" s="236">
        <f t="shared" si="242"/>
        <v>6620</v>
      </c>
      <c r="N1174" s="24"/>
      <c r="O1174" s="24"/>
      <c r="P1174" s="24"/>
      <c r="Q1174" s="24"/>
      <c r="R1174" s="24"/>
      <c r="S1174" s="236">
        <v>6620</v>
      </c>
      <c r="T1174" s="23"/>
      <c r="V1174" s="6">
        <f t="shared" si="246"/>
        <v>0</v>
      </c>
    </row>
    <row r="1175" spans="1:22" s="26" customFormat="1" ht="30">
      <c r="A1175" s="583">
        <v>5</v>
      </c>
      <c r="B1175" s="579" t="s">
        <v>2264</v>
      </c>
      <c r="C1175" s="544" t="s">
        <v>2192</v>
      </c>
      <c r="D1175" s="15" t="s">
        <v>31</v>
      </c>
      <c r="E1175" s="179" t="s">
        <v>1268</v>
      </c>
      <c r="F1175" s="179" t="s">
        <v>2265</v>
      </c>
      <c r="G1175" s="27">
        <v>6933</v>
      </c>
      <c r="H1175" s="27"/>
      <c r="I1175" s="27"/>
      <c r="J1175" s="27"/>
      <c r="K1175" s="236">
        <f t="shared" si="245"/>
        <v>6933</v>
      </c>
      <c r="L1175" s="265"/>
      <c r="M1175" s="236">
        <f t="shared" si="242"/>
        <v>6935</v>
      </c>
      <c r="N1175" s="24"/>
      <c r="O1175" s="24"/>
      <c r="P1175" s="24"/>
      <c r="Q1175" s="24"/>
      <c r="R1175" s="24"/>
      <c r="S1175" s="236">
        <v>6935</v>
      </c>
      <c r="T1175" s="23"/>
      <c r="V1175" s="6">
        <f t="shared" si="246"/>
        <v>0</v>
      </c>
    </row>
    <row r="1176" spans="1:22" s="26" customFormat="1" ht="30">
      <c r="A1176" s="583">
        <v>6</v>
      </c>
      <c r="B1176" s="579" t="s">
        <v>2266</v>
      </c>
      <c r="C1176" s="544" t="s">
        <v>2181</v>
      </c>
      <c r="D1176" s="15" t="s">
        <v>31</v>
      </c>
      <c r="E1176" s="179" t="s">
        <v>1268</v>
      </c>
      <c r="F1176" s="179" t="s">
        <v>2267</v>
      </c>
      <c r="G1176" s="27">
        <v>6153</v>
      </c>
      <c r="H1176" s="27"/>
      <c r="I1176" s="27"/>
      <c r="J1176" s="27"/>
      <c r="K1176" s="236">
        <f t="shared" si="245"/>
        <v>6153</v>
      </c>
      <c r="L1176" s="265"/>
      <c r="M1176" s="236">
        <f t="shared" si="242"/>
        <v>6600</v>
      </c>
      <c r="N1176" s="24"/>
      <c r="O1176" s="24"/>
      <c r="P1176" s="24"/>
      <c r="Q1176" s="24"/>
      <c r="R1176" s="24"/>
      <c r="S1176" s="236">
        <v>6600</v>
      </c>
      <c r="T1176" s="23"/>
      <c r="V1176" s="6">
        <f t="shared" si="246"/>
        <v>0</v>
      </c>
    </row>
    <row r="1177" spans="1:22" s="26" customFormat="1">
      <c r="A1177" s="529" t="s">
        <v>102</v>
      </c>
      <c r="B1177" s="523" t="s">
        <v>103</v>
      </c>
      <c r="C1177" s="248"/>
      <c r="D1177" s="248"/>
      <c r="E1177" s="248"/>
      <c r="F1177" s="582"/>
      <c r="G1177" s="553">
        <f t="shared" ref="G1177:L1177" si="247">SUM(G1178:G1198)</f>
        <v>250875.207471</v>
      </c>
      <c r="H1177" s="553"/>
      <c r="I1177" s="553"/>
      <c r="J1177" s="553"/>
      <c r="K1177" s="553">
        <f t="shared" si="247"/>
        <v>250875.207471</v>
      </c>
      <c r="L1177" s="553">
        <f t="shared" si="247"/>
        <v>0</v>
      </c>
      <c r="M1177" s="576">
        <f t="shared" si="242"/>
        <v>107490</v>
      </c>
      <c r="N1177" s="24"/>
      <c r="O1177" s="24"/>
      <c r="P1177" s="24"/>
      <c r="Q1177" s="24"/>
      <c r="R1177" s="24"/>
      <c r="S1177" s="576">
        <f>SUM(S1178:S1198)</f>
        <v>107490</v>
      </c>
      <c r="T1177" s="23"/>
      <c r="V1177" s="6">
        <f t="shared" si="246"/>
        <v>0</v>
      </c>
    </row>
    <row r="1178" spans="1:22" s="26" customFormat="1" ht="30">
      <c r="A1178" s="583">
        <v>1</v>
      </c>
      <c r="B1178" s="177" t="s">
        <v>2268</v>
      </c>
      <c r="C1178" s="15" t="s">
        <v>2269</v>
      </c>
      <c r="D1178" s="15" t="s">
        <v>31</v>
      </c>
      <c r="E1178" s="179" t="s">
        <v>1314</v>
      </c>
      <c r="F1178" s="266" t="s">
        <v>2270</v>
      </c>
      <c r="G1178" s="512">
        <v>27479</v>
      </c>
      <c r="H1178" s="512"/>
      <c r="I1178" s="512"/>
      <c r="J1178" s="512"/>
      <c r="K1178" s="236">
        <f>G1178</f>
        <v>27479</v>
      </c>
      <c r="L1178" s="236"/>
      <c r="M1178" s="236">
        <f t="shared" si="242"/>
        <v>8611</v>
      </c>
      <c r="N1178" s="24"/>
      <c r="O1178" s="24"/>
      <c r="P1178" s="24"/>
      <c r="Q1178" s="24"/>
      <c r="R1178" s="24"/>
      <c r="S1178" s="236">
        <v>8611</v>
      </c>
      <c r="T1178" s="23"/>
      <c r="V1178" s="6">
        <f t="shared" si="246"/>
        <v>0</v>
      </c>
    </row>
    <row r="1179" spans="1:22" s="26" customFormat="1" ht="45">
      <c r="A1179" s="583">
        <v>2</v>
      </c>
      <c r="B1179" s="177" t="s">
        <v>2271</v>
      </c>
      <c r="C1179" s="15" t="s">
        <v>2255</v>
      </c>
      <c r="D1179" s="15" t="s">
        <v>31</v>
      </c>
      <c r="E1179" s="179" t="s">
        <v>1314</v>
      </c>
      <c r="F1179" s="266" t="s">
        <v>2272</v>
      </c>
      <c r="G1179" s="512">
        <v>8626</v>
      </c>
      <c r="H1179" s="512"/>
      <c r="I1179" s="512"/>
      <c r="J1179" s="512"/>
      <c r="K1179" s="236">
        <f t="shared" ref="K1179:K1198" si="248">G1179</f>
        <v>8626</v>
      </c>
      <c r="L1179" s="236"/>
      <c r="M1179" s="236">
        <f t="shared" si="242"/>
        <v>6805</v>
      </c>
      <c r="N1179" s="24"/>
      <c r="O1179" s="24"/>
      <c r="P1179" s="24"/>
      <c r="Q1179" s="24"/>
      <c r="R1179" s="24"/>
      <c r="S1179" s="236">
        <v>6805</v>
      </c>
      <c r="T1179" s="23"/>
      <c r="V1179" s="6">
        <f t="shared" si="246"/>
        <v>0</v>
      </c>
    </row>
    <row r="1180" spans="1:22" s="26" customFormat="1" ht="45">
      <c r="A1180" s="583">
        <v>3</v>
      </c>
      <c r="B1180" s="177" t="s">
        <v>2273</v>
      </c>
      <c r="C1180" s="15" t="s">
        <v>2255</v>
      </c>
      <c r="D1180" s="15" t="s">
        <v>31</v>
      </c>
      <c r="E1180" s="179" t="s">
        <v>1314</v>
      </c>
      <c r="F1180" s="266" t="s">
        <v>2274</v>
      </c>
      <c r="G1180" s="512">
        <v>8213</v>
      </c>
      <c r="H1180" s="512"/>
      <c r="I1180" s="512"/>
      <c r="J1180" s="512"/>
      <c r="K1180" s="236">
        <f t="shared" si="248"/>
        <v>8213</v>
      </c>
      <c r="L1180" s="236"/>
      <c r="M1180" s="236">
        <f t="shared" si="242"/>
        <v>6805</v>
      </c>
      <c r="N1180" s="24"/>
      <c r="O1180" s="24"/>
      <c r="P1180" s="24"/>
      <c r="Q1180" s="24"/>
      <c r="R1180" s="24"/>
      <c r="S1180" s="236">
        <v>6805</v>
      </c>
      <c r="T1180" s="23"/>
      <c r="V1180" s="6">
        <f t="shared" si="246"/>
        <v>0</v>
      </c>
    </row>
    <row r="1181" spans="1:22" s="26" customFormat="1" ht="30">
      <c r="A1181" s="583">
        <v>4</v>
      </c>
      <c r="B1181" s="177" t="s">
        <v>2275</v>
      </c>
      <c r="C1181" s="15" t="s">
        <v>2276</v>
      </c>
      <c r="D1181" s="15" t="s">
        <v>31</v>
      </c>
      <c r="E1181" s="179" t="s">
        <v>1314</v>
      </c>
      <c r="F1181" s="266" t="s">
        <v>2277</v>
      </c>
      <c r="G1181" s="512">
        <v>28533</v>
      </c>
      <c r="H1181" s="512"/>
      <c r="I1181" s="512"/>
      <c r="J1181" s="512"/>
      <c r="K1181" s="236">
        <f t="shared" si="248"/>
        <v>28533</v>
      </c>
      <c r="L1181" s="236"/>
      <c r="M1181" s="236">
        <f t="shared" si="242"/>
        <v>9513</v>
      </c>
      <c r="N1181" s="24"/>
      <c r="O1181" s="24"/>
      <c r="P1181" s="24"/>
      <c r="Q1181" s="24"/>
      <c r="R1181" s="24"/>
      <c r="S1181" s="236">
        <v>9513</v>
      </c>
      <c r="T1181" s="23"/>
      <c r="V1181" s="6">
        <f t="shared" si="246"/>
        <v>0</v>
      </c>
    </row>
    <row r="1182" spans="1:22" s="26" customFormat="1" ht="30">
      <c r="A1182" s="583">
        <v>5</v>
      </c>
      <c r="B1182" s="177" t="s">
        <v>2278</v>
      </c>
      <c r="C1182" s="15" t="s">
        <v>2244</v>
      </c>
      <c r="D1182" s="15" t="s">
        <v>31</v>
      </c>
      <c r="E1182" s="179" t="s">
        <v>1314</v>
      </c>
      <c r="F1182" s="266" t="s">
        <v>2279</v>
      </c>
      <c r="G1182" s="512">
        <v>22347</v>
      </c>
      <c r="H1182" s="512"/>
      <c r="I1182" s="512"/>
      <c r="J1182" s="512"/>
      <c r="K1182" s="236">
        <f t="shared" si="248"/>
        <v>22347</v>
      </c>
      <c r="L1182" s="236"/>
      <c r="M1182" s="236">
        <f t="shared" si="242"/>
        <v>7300</v>
      </c>
      <c r="N1182" s="24"/>
      <c r="O1182" s="24"/>
      <c r="P1182" s="24"/>
      <c r="Q1182" s="24"/>
      <c r="R1182" s="24"/>
      <c r="S1182" s="236">
        <v>7300</v>
      </c>
      <c r="T1182" s="23"/>
      <c r="V1182" s="6">
        <f t="shared" si="246"/>
        <v>0</v>
      </c>
    </row>
    <row r="1183" spans="1:22" s="26" customFormat="1" ht="30">
      <c r="A1183" s="583">
        <v>6</v>
      </c>
      <c r="B1183" s="177" t="s">
        <v>2280</v>
      </c>
      <c r="C1183" s="15" t="s">
        <v>2202</v>
      </c>
      <c r="D1183" s="15" t="s">
        <v>31</v>
      </c>
      <c r="E1183" s="179" t="s">
        <v>1314</v>
      </c>
      <c r="F1183" s="266" t="s">
        <v>2281</v>
      </c>
      <c r="G1183" s="512">
        <v>17050.307471</v>
      </c>
      <c r="H1183" s="512"/>
      <c r="I1183" s="512"/>
      <c r="J1183" s="512"/>
      <c r="K1183" s="236">
        <f t="shared" si="248"/>
        <v>17050.307471</v>
      </c>
      <c r="L1183" s="265"/>
      <c r="M1183" s="236">
        <f t="shared" si="242"/>
        <v>6136</v>
      </c>
      <c r="N1183" s="24"/>
      <c r="O1183" s="24"/>
      <c r="P1183" s="24"/>
      <c r="Q1183" s="24"/>
      <c r="R1183" s="24"/>
      <c r="S1183" s="236">
        <v>6136</v>
      </c>
      <c r="T1183" s="23"/>
      <c r="V1183" s="6">
        <f t="shared" si="246"/>
        <v>0</v>
      </c>
    </row>
    <row r="1184" spans="1:22" s="26" customFormat="1" ht="45">
      <c r="A1184" s="583">
        <v>7</v>
      </c>
      <c r="B1184" s="177" t="s">
        <v>2282</v>
      </c>
      <c r="C1184" s="15" t="s">
        <v>2283</v>
      </c>
      <c r="D1184" s="15" t="s">
        <v>31</v>
      </c>
      <c r="E1184" s="179" t="s">
        <v>1314</v>
      </c>
      <c r="F1184" s="266" t="s">
        <v>2284</v>
      </c>
      <c r="G1184" s="512">
        <v>14879</v>
      </c>
      <c r="H1184" s="512"/>
      <c r="I1184" s="512"/>
      <c r="J1184" s="512"/>
      <c r="K1184" s="236">
        <f t="shared" si="248"/>
        <v>14879</v>
      </c>
      <c r="L1184" s="265"/>
      <c r="M1184" s="236">
        <f t="shared" si="242"/>
        <v>4823</v>
      </c>
      <c r="N1184" s="24"/>
      <c r="O1184" s="24"/>
      <c r="P1184" s="24"/>
      <c r="Q1184" s="24"/>
      <c r="R1184" s="24"/>
      <c r="S1184" s="236">
        <v>4823</v>
      </c>
      <c r="T1184" s="23"/>
      <c r="V1184" s="6">
        <f t="shared" si="246"/>
        <v>0</v>
      </c>
    </row>
    <row r="1185" spans="1:22" s="26" customFormat="1" ht="30">
      <c r="A1185" s="583">
        <v>8</v>
      </c>
      <c r="B1185" s="177" t="s">
        <v>2285</v>
      </c>
      <c r="C1185" s="15" t="s">
        <v>2237</v>
      </c>
      <c r="D1185" s="15" t="s">
        <v>31</v>
      </c>
      <c r="E1185" s="179" t="s">
        <v>1314</v>
      </c>
      <c r="F1185" s="266" t="s">
        <v>2286</v>
      </c>
      <c r="G1185" s="512">
        <v>8699</v>
      </c>
      <c r="H1185" s="512"/>
      <c r="I1185" s="512"/>
      <c r="J1185" s="512"/>
      <c r="K1185" s="236">
        <f t="shared" si="248"/>
        <v>8699</v>
      </c>
      <c r="L1185" s="265"/>
      <c r="M1185" s="236">
        <f t="shared" si="242"/>
        <v>3795</v>
      </c>
      <c r="N1185" s="24"/>
      <c r="O1185" s="24"/>
      <c r="P1185" s="24"/>
      <c r="Q1185" s="24"/>
      <c r="R1185" s="24"/>
      <c r="S1185" s="236">
        <v>3795</v>
      </c>
      <c r="T1185" s="23"/>
      <c r="V1185" s="6">
        <f t="shared" si="246"/>
        <v>0</v>
      </c>
    </row>
    <row r="1186" spans="1:22" s="26" customFormat="1" ht="30">
      <c r="A1186" s="583">
        <v>9</v>
      </c>
      <c r="B1186" s="177" t="s">
        <v>2287</v>
      </c>
      <c r="C1186" s="15" t="s">
        <v>2237</v>
      </c>
      <c r="D1186" s="15" t="s">
        <v>31</v>
      </c>
      <c r="E1186" s="179" t="s">
        <v>1314</v>
      </c>
      <c r="F1186" s="266" t="s">
        <v>2288</v>
      </c>
      <c r="G1186" s="512">
        <v>10164</v>
      </c>
      <c r="H1186" s="512"/>
      <c r="I1186" s="512"/>
      <c r="J1186" s="512"/>
      <c r="K1186" s="236">
        <f t="shared" si="248"/>
        <v>10164</v>
      </c>
      <c r="L1186" s="265"/>
      <c r="M1186" s="236">
        <f t="shared" si="242"/>
        <v>3332</v>
      </c>
      <c r="N1186" s="24"/>
      <c r="O1186" s="24"/>
      <c r="P1186" s="24"/>
      <c r="Q1186" s="24"/>
      <c r="R1186" s="24"/>
      <c r="S1186" s="236">
        <v>3332</v>
      </c>
      <c r="T1186" s="23"/>
      <c r="V1186" s="6">
        <f t="shared" si="246"/>
        <v>0</v>
      </c>
    </row>
    <row r="1187" spans="1:22" s="26" customFormat="1" ht="45">
      <c r="A1187" s="583">
        <v>10</v>
      </c>
      <c r="B1187" s="177" t="s">
        <v>2289</v>
      </c>
      <c r="C1187" s="15" t="s">
        <v>2237</v>
      </c>
      <c r="D1187" s="15" t="s">
        <v>31</v>
      </c>
      <c r="E1187" s="179" t="s">
        <v>1314</v>
      </c>
      <c r="F1187" s="266" t="s">
        <v>2290</v>
      </c>
      <c r="G1187" s="512">
        <v>7686</v>
      </c>
      <c r="H1187" s="512"/>
      <c r="I1187" s="512"/>
      <c r="J1187" s="512"/>
      <c r="K1187" s="236">
        <f t="shared" si="248"/>
        <v>7686</v>
      </c>
      <c r="L1187" s="265"/>
      <c r="M1187" s="236">
        <f t="shared" si="242"/>
        <v>5565</v>
      </c>
      <c r="N1187" s="24"/>
      <c r="O1187" s="24"/>
      <c r="P1187" s="24"/>
      <c r="Q1187" s="24"/>
      <c r="R1187" s="24"/>
      <c r="S1187" s="236">
        <v>5565</v>
      </c>
      <c r="T1187" s="23"/>
      <c r="V1187" s="6">
        <f t="shared" si="246"/>
        <v>0</v>
      </c>
    </row>
    <row r="1188" spans="1:22" s="26" customFormat="1" ht="30">
      <c r="A1188" s="583">
        <v>11</v>
      </c>
      <c r="B1188" s="177" t="s">
        <v>2291</v>
      </c>
      <c r="C1188" s="15" t="s">
        <v>2226</v>
      </c>
      <c r="D1188" s="15" t="s">
        <v>31</v>
      </c>
      <c r="E1188" s="179" t="s">
        <v>1314</v>
      </c>
      <c r="F1188" s="266" t="s">
        <v>2292</v>
      </c>
      <c r="G1188" s="512">
        <v>13595</v>
      </c>
      <c r="H1188" s="512"/>
      <c r="I1188" s="512"/>
      <c r="J1188" s="512"/>
      <c r="K1188" s="236">
        <f t="shared" si="248"/>
        <v>13595</v>
      </c>
      <c r="L1188" s="265"/>
      <c r="M1188" s="236">
        <f t="shared" si="242"/>
        <v>4824</v>
      </c>
      <c r="N1188" s="24"/>
      <c r="O1188" s="24"/>
      <c r="P1188" s="24"/>
      <c r="Q1188" s="24"/>
      <c r="R1188" s="24"/>
      <c r="S1188" s="236">
        <v>4824</v>
      </c>
      <c r="T1188" s="23"/>
      <c r="V1188" s="6">
        <f t="shared" si="246"/>
        <v>0</v>
      </c>
    </row>
    <row r="1189" spans="1:22" s="26" customFormat="1" ht="30">
      <c r="A1189" s="583">
        <v>12</v>
      </c>
      <c r="B1189" s="177" t="s">
        <v>2293</v>
      </c>
      <c r="C1189" s="15" t="s">
        <v>2226</v>
      </c>
      <c r="D1189" s="15" t="s">
        <v>31</v>
      </c>
      <c r="E1189" s="179" t="s">
        <v>1314</v>
      </c>
      <c r="F1189" s="266" t="s">
        <v>2294</v>
      </c>
      <c r="G1189" s="512">
        <v>22806</v>
      </c>
      <c r="H1189" s="512"/>
      <c r="I1189" s="512"/>
      <c r="J1189" s="512"/>
      <c r="K1189" s="236">
        <f t="shared" si="248"/>
        <v>22806</v>
      </c>
      <c r="L1189" s="265"/>
      <c r="M1189" s="236">
        <f t="shared" si="242"/>
        <v>8883</v>
      </c>
      <c r="N1189" s="24"/>
      <c r="O1189" s="24"/>
      <c r="P1189" s="24"/>
      <c r="Q1189" s="24"/>
      <c r="R1189" s="24"/>
      <c r="S1189" s="236">
        <v>8883</v>
      </c>
      <c r="T1189" s="23"/>
      <c r="V1189" s="6">
        <f t="shared" si="246"/>
        <v>0</v>
      </c>
    </row>
    <row r="1190" spans="1:22" s="26" customFormat="1" ht="30">
      <c r="A1190" s="583">
        <v>13</v>
      </c>
      <c r="B1190" s="177" t="s">
        <v>2295</v>
      </c>
      <c r="C1190" s="15" t="s">
        <v>2226</v>
      </c>
      <c r="D1190" s="15" t="s">
        <v>31</v>
      </c>
      <c r="E1190" s="179" t="s">
        <v>1314</v>
      </c>
      <c r="F1190" s="266" t="s">
        <v>2296</v>
      </c>
      <c r="G1190" s="27">
        <f>14879</f>
        <v>14879</v>
      </c>
      <c r="H1190" s="27"/>
      <c r="I1190" s="27"/>
      <c r="J1190" s="27"/>
      <c r="K1190" s="236">
        <f t="shared" si="248"/>
        <v>14879</v>
      </c>
      <c r="L1190" s="265"/>
      <c r="M1190" s="236">
        <f t="shared" si="242"/>
        <v>4824</v>
      </c>
      <c r="N1190" s="24"/>
      <c r="O1190" s="24"/>
      <c r="P1190" s="24"/>
      <c r="Q1190" s="24"/>
      <c r="R1190" s="24"/>
      <c r="S1190" s="236">
        <v>4824</v>
      </c>
      <c r="T1190" s="23"/>
      <c r="V1190" s="6">
        <f t="shared" si="246"/>
        <v>0</v>
      </c>
    </row>
    <row r="1191" spans="1:22" s="26" customFormat="1" ht="30">
      <c r="A1191" s="583">
        <v>14</v>
      </c>
      <c r="B1191" s="177" t="s">
        <v>2297</v>
      </c>
      <c r="C1191" s="15" t="s">
        <v>2229</v>
      </c>
      <c r="D1191" s="15" t="s">
        <v>31</v>
      </c>
      <c r="E1191" s="179" t="s">
        <v>1314</v>
      </c>
      <c r="F1191" s="266" t="s">
        <v>2298</v>
      </c>
      <c r="G1191" s="512">
        <v>2456.9</v>
      </c>
      <c r="H1191" s="512"/>
      <c r="I1191" s="512"/>
      <c r="J1191" s="512"/>
      <c r="K1191" s="236">
        <f t="shared" si="248"/>
        <v>2456.9</v>
      </c>
      <c r="L1191" s="265"/>
      <c r="M1191" s="236">
        <f t="shared" si="242"/>
        <v>2278</v>
      </c>
      <c r="N1191" s="24"/>
      <c r="O1191" s="24"/>
      <c r="P1191" s="24"/>
      <c r="Q1191" s="24"/>
      <c r="R1191" s="24"/>
      <c r="S1191" s="236">
        <v>2278</v>
      </c>
      <c r="T1191" s="23"/>
      <c r="V1191" s="6">
        <f t="shared" si="246"/>
        <v>0</v>
      </c>
    </row>
    <row r="1192" spans="1:22" s="26" customFormat="1" ht="30">
      <c r="A1192" s="583">
        <v>15</v>
      </c>
      <c r="B1192" s="177" t="s">
        <v>2299</v>
      </c>
      <c r="C1192" s="15" t="s">
        <v>2229</v>
      </c>
      <c r="D1192" s="15" t="s">
        <v>31</v>
      </c>
      <c r="E1192" s="179" t="s">
        <v>1314</v>
      </c>
      <c r="F1192" s="266" t="s">
        <v>2300</v>
      </c>
      <c r="G1192" s="512">
        <v>6335</v>
      </c>
      <c r="H1192" s="512"/>
      <c r="I1192" s="512"/>
      <c r="J1192" s="512"/>
      <c r="K1192" s="236">
        <f t="shared" si="248"/>
        <v>6335</v>
      </c>
      <c r="L1192" s="265"/>
      <c r="M1192" s="236">
        <f t="shared" si="242"/>
        <v>3449</v>
      </c>
      <c r="N1192" s="24"/>
      <c r="O1192" s="24"/>
      <c r="P1192" s="24"/>
      <c r="Q1192" s="24"/>
      <c r="R1192" s="24"/>
      <c r="S1192" s="236">
        <v>3449</v>
      </c>
      <c r="T1192" s="23"/>
      <c r="V1192" s="6">
        <f t="shared" si="246"/>
        <v>0</v>
      </c>
    </row>
    <row r="1193" spans="1:22" s="26" customFormat="1" ht="30">
      <c r="A1193" s="583">
        <v>16</v>
      </c>
      <c r="B1193" s="177" t="s">
        <v>2301</v>
      </c>
      <c r="C1193" s="15" t="s">
        <v>2233</v>
      </c>
      <c r="D1193" s="15" t="s">
        <v>31</v>
      </c>
      <c r="E1193" s="179" t="s">
        <v>1314</v>
      </c>
      <c r="F1193" s="266" t="s">
        <v>2302</v>
      </c>
      <c r="G1193" s="27">
        <v>7471</v>
      </c>
      <c r="H1193" s="27"/>
      <c r="I1193" s="27"/>
      <c r="J1193" s="27"/>
      <c r="K1193" s="236">
        <f t="shared" si="248"/>
        <v>7471</v>
      </c>
      <c r="L1193" s="265"/>
      <c r="M1193" s="236">
        <f t="shared" si="242"/>
        <v>3699</v>
      </c>
      <c r="N1193" s="24"/>
      <c r="O1193" s="24"/>
      <c r="P1193" s="24"/>
      <c r="Q1193" s="24"/>
      <c r="R1193" s="24"/>
      <c r="S1193" s="236">
        <v>3699</v>
      </c>
      <c r="T1193" s="23"/>
      <c r="V1193" s="6">
        <f t="shared" si="246"/>
        <v>0</v>
      </c>
    </row>
    <row r="1194" spans="1:22" s="26" customFormat="1" ht="45">
      <c r="A1194" s="583">
        <v>17</v>
      </c>
      <c r="B1194" s="177" t="s">
        <v>2303</v>
      </c>
      <c r="C1194" s="15" t="s">
        <v>2241</v>
      </c>
      <c r="D1194" s="15" t="s">
        <v>31</v>
      </c>
      <c r="E1194" s="179" t="s">
        <v>1314</v>
      </c>
      <c r="F1194" s="266" t="s">
        <v>2304</v>
      </c>
      <c r="G1194" s="512">
        <v>2278</v>
      </c>
      <c r="H1194" s="512"/>
      <c r="I1194" s="512"/>
      <c r="J1194" s="512"/>
      <c r="K1194" s="236">
        <f t="shared" si="248"/>
        <v>2278</v>
      </c>
      <c r="L1194" s="265"/>
      <c r="M1194" s="236">
        <f t="shared" si="242"/>
        <v>2740</v>
      </c>
      <c r="N1194" s="24"/>
      <c r="O1194" s="24"/>
      <c r="P1194" s="24"/>
      <c r="Q1194" s="24"/>
      <c r="R1194" s="24"/>
      <c r="S1194" s="236">
        <v>2740</v>
      </c>
      <c r="T1194" s="23"/>
      <c r="V1194" s="6">
        <f t="shared" si="246"/>
        <v>0</v>
      </c>
    </row>
    <row r="1195" spans="1:22" s="26" customFormat="1" ht="30">
      <c r="A1195" s="583">
        <v>18</v>
      </c>
      <c r="B1195" s="177" t="s">
        <v>2305</v>
      </c>
      <c r="C1195" s="15" t="s">
        <v>2306</v>
      </c>
      <c r="D1195" s="15" t="s">
        <v>31</v>
      </c>
      <c r="E1195" s="179" t="s">
        <v>1314</v>
      </c>
      <c r="F1195" s="266" t="s">
        <v>2307</v>
      </c>
      <c r="G1195" s="512">
        <v>4106</v>
      </c>
      <c r="H1195" s="512"/>
      <c r="I1195" s="512"/>
      <c r="J1195" s="512"/>
      <c r="K1195" s="236">
        <f t="shared" si="248"/>
        <v>4106</v>
      </c>
      <c r="L1195" s="265"/>
      <c r="M1195" s="236">
        <f t="shared" si="242"/>
        <v>2584</v>
      </c>
      <c r="N1195" s="24"/>
      <c r="O1195" s="24"/>
      <c r="P1195" s="24"/>
      <c r="Q1195" s="24"/>
      <c r="R1195" s="24"/>
      <c r="S1195" s="236">
        <v>2584</v>
      </c>
      <c r="T1195" s="23"/>
      <c r="V1195" s="6">
        <f t="shared" si="246"/>
        <v>0</v>
      </c>
    </row>
    <row r="1196" spans="1:22" s="26" customFormat="1" ht="30">
      <c r="A1196" s="583">
        <v>19</v>
      </c>
      <c r="B1196" s="177" t="s">
        <v>2308</v>
      </c>
      <c r="C1196" s="15" t="s">
        <v>2269</v>
      </c>
      <c r="D1196" s="15" t="s">
        <v>31</v>
      </c>
      <c r="E1196" s="179" t="s">
        <v>1314</v>
      </c>
      <c r="F1196" s="266" t="s">
        <v>2309</v>
      </c>
      <c r="G1196" s="512">
        <v>8654</v>
      </c>
      <c r="H1196" s="512"/>
      <c r="I1196" s="512"/>
      <c r="J1196" s="512"/>
      <c r="K1196" s="236">
        <f t="shared" si="248"/>
        <v>8654</v>
      </c>
      <c r="L1196" s="265"/>
      <c r="M1196" s="236">
        <f t="shared" si="242"/>
        <v>3666</v>
      </c>
      <c r="N1196" s="24"/>
      <c r="O1196" s="24"/>
      <c r="P1196" s="24"/>
      <c r="Q1196" s="24"/>
      <c r="R1196" s="24"/>
      <c r="S1196" s="236">
        <v>3666</v>
      </c>
      <c r="T1196" s="23"/>
      <c r="V1196" s="6">
        <f t="shared" si="246"/>
        <v>0</v>
      </c>
    </row>
    <row r="1197" spans="1:22" s="26" customFormat="1" ht="30">
      <c r="A1197" s="583">
        <v>20</v>
      </c>
      <c r="B1197" s="177" t="s">
        <v>2310</v>
      </c>
      <c r="C1197" s="15" t="s">
        <v>2269</v>
      </c>
      <c r="D1197" s="15" t="s">
        <v>31</v>
      </c>
      <c r="E1197" s="179" t="s">
        <v>1314</v>
      </c>
      <c r="F1197" s="266" t="s">
        <v>2311</v>
      </c>
      <c r="G1197" s="27">
        <v>9643</v>
      </c>
      <c r="H1197" s="27"/>
      <c r="I1197" s="27"/>
      <c r="J1197" s="27"/>
      <c r="K1197" s="236">
        <f t="shared" si="248"/>
        <v>9643</v>
      </c>
      <c r="L1197" s="265"/>
      <c r="M1197" s="236">
        <f t="shared" si="242"/>
        <v>3102</v>
      </c>
      <c r="N1197" s="24"/>
      <c r="O1197" s="24"/>
      <c r="P1197" s="24"/>
      <c r="Q1197" s="24"/>
      <c r="R1197" s="24"/>
      <c r="S1197" s="236">
        <v>3102</v>
      </c>
      <c r="T1197" s="23"/>
      <c r="V1197" s="6">
        <f t="shared" si="246"/>
        <v>0</v>
      </c>
    </row>
    <row r="1198" spans="1:22" s="26" customFormat="1" ht="30">
      <c r="A1198" s="583">
        <v>21</v>
      </c>
      <c r="B1198" s="177" t="s">
        <v>2312</v>
      </c>
      <c r="C1198" s="15" t="s">
        <v>2244</v>
      </c>
      <c r="D1198" s="15" t="s">
        <v>31</v>
      </c>
      <c r="E1198" s="179" t="s">
        <v>1314</v>
      </c>
      <c r="F1198" s="544" t="s">
        <v>2313</v>
      </c>
      <c r="G1198" s="27">
        <v>4975</v>
      </c>
      <c r="H1198" s="27"/>
      <c r="I1198" s="27"/>
      <c r="J1198" s="27"/>
      <c r="K1198" s="236">
        <f t="shared" si="248"/>
        <v>4975</v>
      </c>
      <c r="L1198" s="265"/>
      <c r="M1198" s="236">
        <f t="shared" ref="M1198:M1261" si="249">SUM(N1198:S1198)</f>
        <v>4756</v>
      </c>
      <c r="N1198" s="24"/>
      <c r="O1198" s="24"/>
      <c r="P1198" s="24"/>
      <c r="Q1198" s="24"/>
      <c r="R1198" s="24"/>
      <c r="S1198" s="236">
        <v>4756</v>
      </c>
      <c r="T1198" s="23"/>
      <c r="V1198" s="6">
        <f t="shared" si="246"/>
        <v>0</v>
      </c>
    </row>
    <row r="1199" spans="1:22" s="224" customFormat="1" ht="28.5">
      <c r="A1199" s="468" t="s">
        <v>659</v>
      </c>
      <c r="B1199" s="523" t="s">
        <v>2314</v>
      </c>
      <c r="C1199" s="524"/>
      <c r="D1199" s="524"/>
      <c r="E1199" s="524"/>
      <c r="F1199" s="524"/>
      <c r="G1199" s="553">
        <f>G1200+G1209</f>
        <v>644349.44743800012</v>
      </c>
      <c r="H1199" s="553"/>
      <c r="I1199" s="553"/>
      <c r="J1199" s="553"/>
      <c r="K1199" s="553">
        <f>K1200+K1209</f>
        <v>644349.44743800012</v>
      </c>
      <c r="L1199" s="553"/>
      <c r="M1199" s="576">
        <f t="shared" si="249"/>
        <v>594643.79099999997</v>
      </c>
      <c r="N1199" s="576"/>
      <c r="O1199" s="576"/>
      <c r="P1199" s="576"/>
      <c r="Q1199" s="576"/>
      <c r="R1199" s="576"/>
      <c r="S1199" s="577">
        <f>S1200+S1209</f>
        <v>594643.79099999997</v>
      </c>
      <c r="T1199" s="527"/>
      <c r="V1199" s="6">
        <f t="shared" si="246"/>
        <v>0</v>
      </c>
    </row>
    <row r="1200" spans="1:22" s="26" customFormat="1" ht="23.25" customHeight="1">
      <c r="A1200" s="356" t="s">
        <v>37</v>
      </c>
      <c r="B1200" s="557" t="s">
        <v>1258</v>
      </c>
      <c r="C1200" s="359"/>
      <c r="D1200" s="359"/>
      <c r="E1200" s="558"/>
      <c r="F1200" s="364"/>
      <c r="G1200" s="361">
        <f>SUM(G1201:G1208)</f>
        <v>16435.156175999997</v>
      </c>
      <c r="H1200" s="361"/>
      <c r="I1200" s="361"/>
      <c r="J1200" s="361"/>
      <c r="K1200" s="361">
        <f>SUM(K1201:K1208)</f>
        <v>16435.156175999997</v>
      </c>
      <c r="L1200" s="365">
        <f>SUM(L1201:L1208)</f>
        <v>0</v>
      </c>
      <c r="M1200" s="540">
        <f t="shared" si="249"/>
        <v>8970</v>
      </c>
      <c r="N1200" s="211"/>
      <c r="O1200" s="211"/>
      <c r="P1200" s="211"/>
      <c r="Q1200" s="211"/>
      <c r="R1200" s="211"/>
      <c r="S1200" s="362">
        <f>SUM(S1201:S1208)</f>
        <v>8970</v>
      </c>
      <c r="T1200" s="23"/>
      <c r="V1200" s="6">
        <f t="shared" si="246"/>
        <v>0</v>
      </c>
    </row>
    <row r="1201" spans="1:22" ht="30">
      <c r="A1201" s="280">
        <v>1</v>
      </c>
      <c r="B1201" s="281" t="s">
        <v>2315</v>
      </c>
      <c r="C1201" s="282" t="s">
        <v>2316</v>
      </c>
      <c r="D1201" s="283" t="s">
        <v>31</v>
      </c>
      <c r="E1201" s="284" t="s">
        <v>2317</v>
      </c>
      <c r="F1201" s="283"/>
      <c r="G1201" s="283">
        <f t="shared" ref="G1201:G1208" si="250">K1201</f>
        <v>4400</v>
      </c>
      <c r="H1201" s="283"/>
      <c r="I1201" s="283"/>
      <c r="J1201" s="283"/>
      <c r="K1201" s="285">
        <v>4400</v>
      </c>
      <c r="L1201" s="285">
        <v>0</v>
      </c>
      <c r="M1201" s="285">
        <f t="shared" si="249"/>
        <v>10</v>
      </c>
      <c r="N1201" s="24"/>
      <c r="O1201" s="24"/>
      <c r="P1201" s="24"/>
      <c r="Q1201" s="24"/>
      <c r="R1201" s="24"/>
      <c r="S1201" s="285">
        <v>10</v>
      </c>
      <c r="T1201" s="23"/>
      <c r="V1201" s="6">
        <f t="shared" si="246"/>
        <v>0</v>
      </c>
    </row>
    <row r="1202" spans="1:22" ht="60">
      <c r="A1202" s="280">
        <v>2</v>
      </c>
      <c r="B1202" s="286" t="s">
        <v>2318</v>
      </c>
      <c r="C1202" s="287" t="s">
        <v>2316</v>
      </c>
      <c r="D1202" s="283" t="s">
        <v>31</v>
      </c>
      <c r="E1202" s="284" t="s">
        <v>55</v>
      </c>
      <c r="F1202" s="283" t="s">
        <v>2319</v>
      </c>
      <c r="G1202" s="283">
        <f t="shared" si="250"/>
        <v>3261.8717299999998</v>
      </c>
      <c r="H1202" s="283"/>
      <c r="I1202" s="283"/>
      <c r="J1202" s="283"/>
      <c r="K1202" s="285">
        <v>3261.8717299999998</v>
      </c>
      <c r="L1202" s="285">
        <v>0</v>
      </c>
      <c r="M1202" s="285">
        <f t="shared" si="249"/>
        <v>2860</v>
      </c>
      <c r="N1202" s="24"/>
      <c r="O1202" s="24"/>
      <c r="P1202" s="24"/>
      <c r="Q1202" s="24"/>
      <c r="R1202" s="24"/>
      <c r="S1202" s="285">
        <v>2860</v>
      </c>
      <c r="T1202" s="23"/>
      <c r="V1202" s="6">
        <f t="shared" si="246"/>
        <v>0</v>
      </c>
    </row>
    <row r="1203" spans="1:22" ht="30">
      <c r="A1203" s="280">
        <v>3</v>
      </c>
      <c r="B1203" s="286" t="s">
        <v>2320</v>
      </c>
      <c r="C1203" s="287" t="s">
        <v>2321</v>
      </c>
      <c r="D1203" s="283" t="s">
        <v>31</v>
      </c>
      <c r="E1203" s="284" t="s">
        <v>55</v>
      </c>
      <c r="F1203" s="283"/>
      <c r="G1203" s="283">
        <f t="shared" si="250"/>
        <v>2120.7952540000001</v>
      </c>
      <c r="H1203" s="283"/>
      <c r="I1203" s="283"/>
      <c r="J1203" s="283"/>
      <c r="K1203" s="285">
        <v>2120.7952540000001</v>
      </c>
      <c r="L1203" s="285">
        <v>0</v>
      </c>
      <c r="M1203" s="285">
        <f t="shared" si="249"/>
        <v>1470</v>
      </c>
      <c r="N1203" s="24"/>
      <c r="O1203" s="24"/>
      <c r="P1203" s="24"/>
      <c r="Q1203" s="24"/>
      <c r="R1203" s="24"/>
      <c r="S1203" s="285">
        <v>1470</v>
      </c>
      <c r="T1203" s="23"/>
      <c r="V1203" s="6">
        <f t="shared" si="246"/>
        <v>0</v>
      </c>
    </row>
    <row r="1204" spans="1:22" ht="45">
      <c r="A1204" s="280">
        <v>4</v>
      </c>
      <c r="B1204" s="286" t="s">
        <v>2322</v>
      </c>
      <c r="C1204" s="287" t="s">
        <v>2316</v>
      </c>
      <c r="D1204" s="283" t="s">
        <v>31</v>
      </c>
      <c r="E1204" s="284" t="s">
        <v>55</v>
      </c>
      <c r="F1204" s="283"/>
      <c r="G1204" s="283">
        <f t="shared" si="250"/>
        <v>2650.5962469999999</v>
      </c>
      <c r="H1204" s="283"/>
      <c r="I1204" s="283"/>
      <c r="J1204" s="283"/>
      <c r="K1204" s="285">
        <v>2650.5962469999999</v>
      </c>
      <c r="L1204" s="285">
        <v>0</v>
      </c>
      <c r="M1204" s="285">
        <f t="shared" si="249"/>
        <v>1840</v>
      </c>
      <c r="N1204" s="24"/>
      <c r="O1204" s="24"/>
      <c r="P1204" s="24"/>
      <c r="Q1204" s="24"/>
      <c r="R1204" s="24"/>
      <c r="S1204" s="285">
        <v>1840</v>
      </c>
      <c r="T1204" s="23"/>
      <c r="V1204" s="6">
        <f t="shared" si="246"/>
        <v>0</v>
      </c>
    </row>
    <row r="1205" spans="1:22" ht="30">
      <c r="A1205" s="280">
        <v>5</v>
      </c>
      <c r="B1205" s="286" t="s">
        <v>2323</v>
      </c>
      <c r="C1205" s="287" t="s">
        <v>2316</v>
      </c>
      <c r="D1205" s="283" t="s">
        <v>31</v>
      </c>
      <c r="E1205" s="284" t="s">
        <v>55</v>
      </c>
      <c r="F1205" s="283"/>
      <c r="G1205" s="283">
        <f t="shared" si="250"/>
        <v>2098.2163969999997</v>
      </c>
      <c r="H1205" s="283"/>
      <c r="I1205" s="283"/>
      <c r="J1205" s="283"/>
      <c r="K1205" s="285">
        <v>2098.2163969999997</v>
      </c>
      <c r="L1205" s="285">
        <v>0</v>
      </c>
      <c r="M1205" s="285">
        <f t="shared" si="249"/>
        <v>1460</v>
      </c>
      <c r="N1205" s="24"/>
      <c r="O1205" s="24"/>
      <c r="P1205" s="24"/>
      <c r="Q1205" s="24"/>
      <c r="R1205" s="24"/>
      <c r="S1205" s="285">
        <v>1460</v>
      </c>
      <c r="T1205" s="23"/>
      <c r="V1205" s="6">
        <f t="shared" si="246"/>
        <v>0</v>
      </c>
    </row>
    <row r="1206" spans="1:22" ht="30">
      <c r="A1206" s="280">
        <v>6</v>
      </c>
      <c r="B1206" s="286" t="s">
        <v>2324</v>
      </c>
      <c r="C1206" s="287" t="s">
        <v>2316</v>
      </c>
      <c r="D1206" s="283" t="s">
        <v>31</v>
      </c>
      <c r="E1206" s="284" t="s">
        <v>55</v>
      </c>
      <c r="F1206" s="283"/>
      <c r="G1206" s="283">
        <f t="shared" si="250"/>
        <v>1113.6765479999999</v>
      </c>
      <c r="H1206" s="283"/>
      <c r="I1206" s="283"/>
      <c r="J1206" s="283"/>
      <c r="K1206" s="285">
        <v>1113.6765479999999</v>
      </c>
      <c r="L1206" s="285">
        <v>0</v>
      </c>
      <c r="M1206" s="285">
        <f t="shared" si="249"/>
        <v>780</v>
      </c>
      <c r="N1206" s="24"/>
      <c r="O1206" s="24"/>
      <c r="P1206" s="24"/>
      <c r="Q1206" s="24"/>
      <c r="R1206" s="24"/>
      <c r="S1206" s="285">
        <v>780</v>
      </c>
      <c r="T1206" s="23"/>
      <c r="V1206" s="6">
        <f t="shared" si="246"/>
        <v>0</v>
      </c>
    </row>
    <row r="1207" spans="1:22" ht="45">
      <c r="A1207" s="280">
        <v>7</v>
      </c>
      <c r="B1207" s="286" t="s">
        <v>2325</v>
      </c>
      <c r="C1207" s="287" t="s">
        <v>2326</v>
      </c>
      <c r="D1207" s="283" t="s">
        <v>31</v>
      </c>
      <c r="E1207" s="284" t="s">
        <v>55</v>
      </c>
      <c r="F1207" s="283"/>
      <c r="G1207" s="283">
        <f t="shared" si="250"/>
        <v>495</v>
      </c>
      <c r="H1207" s="283"/>
      <c r="I1207" s="283"/>
      <c r="J1207" s="283"/>
      <c r="K1207" s="285">
        <v>495</v>
      </c>
      <c r="L1207" s="285">
        <v>0</v>
      </c>
      <c r="M1207" s="285">
        <f t="shared" si="249"/>
        <v>340</v>
      </c>
      <c r="N1207" s="24"/>
      <c r="O1207" s="24"/>
      <c r="P1207" s="24"/>
      <c r="Q1207" s="24"/>
      <c r="R1207" s="24"/>
      <c r="S1207" s="285">
        <v>340</v>
      </c>
      <c r="T1207" s="23"/>
      <c r="V1207" s="6">
        <f t="shared" si="246"/>
        <v>0</v>
      </c>
    </row>
    <row r="1208" spans="1:22" ht="30">
      <c r="A1208" s="280">
        <v>8</v>
      </c>
      <c r="B1208" s="286" t="s">
        <v>2327</v>
      </c>
      <c r="C1208" s="287" t="s">
        <v>2328</v>
      </c>
      <c r="D1208" s="283" t="s">
        <v>31</v>
      </c>
      <c r="E1208" s="284" t="s">
        <v>55</v>
      </c>
      <c r="F1208" s="283"/>
      <c r="G1208" s="283">
        <f t="shared" si="250"/>
        <v>295</v>
      </c>
      <c r="H1208" s="283"/>
      <c r="I1208" s="283"/>
      <c r="J1208" s="283"/>
      <c r="K1208" s="285">
        <v>295</v>
      </c>
      <c r="L1208" s="285">
        <v>0</v>
      </c>
      <c r="M1208" s="285">
        <f t="shared" si="249"/>
        <v>210</v>
      </c>
      <c r="N1208" s="24"/>
      <c r="O1208" s="24"/>
      <c r="P1208" s="24"/>
      <c r="Q1208" s="24"/>
      <c r="R1208" s="24"/>
      <c r="S1208" s="285">
        <v>210</v>
      </c>
      <c r="T1208" s="23"/>
      <c r="V1208" s="6">
        <f t="shared" si="246"/>
        <v>0</v>
      </c>
    </row>
    <row r="1209" spans="1:22" s="26" customFormat="1" ht="23.25" customHeight="1">
      <c r="A1209" s="356" t="s">
        <v>69</v>
      </c>
      <c r="B1209" s="557" t="s">
        <v>871</v>
      </c>
      <c r="C1209" s="359"/>
      <c r="D1209" s="359"/>
      <c r="E1209" s="558"/>
      <c r="F1209" s="364"/>
      <c r="G1209" s="361">
        <f>G1210+G1269+G1296+G1284</f>
        <v>627914.2912620001</v>
      </c>
      <c r="H1209" s="361"/>
      <c r="I1209" s="361"/>
      <c r="J1209" s="361"/>
      <c r="K1209" s="361">
        <f>K1210+K1269+K1296+K1284</f>
        <v>627914.2912620001</v>
      </c>
      <c r="L1209" s="365">
        <f>L1210+L1269+L1296+L1284</f>
        <v>0</v>
      </c>
      <c r="M1209" s="540">
        <f t="shared" si="249"/>
        <v>585673.79099999997</v>
      </c>
      <c r="N1209" s="211"/>
      <c r="O1209" s="211"/>
      <c r="P1209" s="211"/>
      <c r="Q1209" s="211"/>
      <c r="R1209" s="211"/>
      <c r="S1209" s="362">
        <f>S1210+S1269+S1296+S1284</f>
        <v>585673.79099999997</v>
      </c>
      <c r="T1209" s="23"/>
      <c r="V1209" s="6">
        <f t="shared" si="246"/>
        <v>0</v>
      </c>
    </row>
    <row r="1210" spans="1:22" ht="21" customHeight="1">
      <c r="A1210" s="288" t="s">
        <v>71</v>
      </c>
      <c r="B1210" s="289" t="s">
        <v>1981</v>
      </c>
      <c r="C1210" s="290"/>
      <c r="D1210" s="291"/>
      <c r="E1210" s="292"/>
      <c r="F1210" s="291"/>
      <c r="G1210" s="291">
        <f>SUM(G1211:G1268)</f>
        <v>291382.15645100002</v>
      </c>
      <c r="H1210" s="291"/>
      <c r="I1210" s="291"/>
      <c r="J1210" s="291"/>
      <c r="K1210" s="291">
        <f>SUM(K1211:K1268)</f>
        <v>291382.15645100002</v>
      </c>
      <c r="L1210" s="291">
        <f>SUM(L1211:L1268)</f>
        <v>0</v>
      </c>
      <c r="M1210" s="293">
        <f t="shared" si="249"/>
        <v>276379.234</v>
      </c>
      <c r="N1210" s="24"/>
      <c r="O1210" s="24"/>
      <c r="P1210" s="24"/>
      <c r="Q1210" s="24"/>
      <c r="R1210" s="24"/>
      <c r="S1210" s="293">
        <f>SUM(S1211:S1268)</f>
        <v>276379.234</v>
      </c>
      <c r="T1210" s="23"/>
      <c r="V1210" s="6">
        <f t="shared" si="246"/>
        <v>0</v>
      </c>
    </row>
    <row r="1211" spans="1:22" ht="30">
      <c r="A1211" s="294">
        <v>1</v>
      </c>
      <c r="B1211" s="281" t="s">
        <v>2331</v>
      </c>
      <c r="C1211" s="282" t="s">
        <v>2332</v>
      </c>
      <c r="D1211" s="283" t="s">
        <v>31</v>
      </c>
      <c r="E1211" s="284" t="s">
        <v>2333</v>
      </c>
      <c r="F1211" s="283" t="s">
        <v>2334</v>
      </c>
      <c r="G1211" s="283">
        <f>K1211</f>
        <v>4939.2640000000001</v>
      </c>
      <c r="H1211" s="283"/>
      <c r="I1211" s="283"/>
      <c r="J1211" s="283"/>
      <c r="K1211" s="285">
        <v>4939.2640000000001</v>
      </c>
      <c r="L1211" s="285">
        <v>0</v>
      </c>
      <c r="M1211" s="285">
        <f t="shared" si="249"/>
        <v>6404.1</v>
      </c>
      <c r="N1211" s="24"/>
      <c r="O1211" s="24"/>
      <c r="P1211" s="24"/>
      <c r="Q1211" s="24"/>
      <c r="R1211" s="24"/>
      <c r="S1211" s="285">
        <v>6404.1</v>
      </c>
      <c r="T1211" s="23"/>
      <c r="V1211" s="6">
        <f t="shared" si="246"/>
        <v>0</v>
      </c>
    </row>
    <row r="1212" spans="1:22" ht="45">
      <c r="A1212" s="294">
        <v>2</v>
      </c>
      <c r="B1212" s="281" t="s">
        <v>2335</v>
      </c>
      <c r="C1212" s="282" t="s">
        <v>2336</v>
      </c>
      <c r="D1212" s="283" t="s">
        <v>31</v>
      </c>
      <c r="E1212" s="284" t="s">
        <v>2337</v>
      </c>
      <c r="F1212" s="283" t="s">
        <v>2338</v>
      </c>
      <c r="G1212" s="283">
        <f>K1212</f>
        <v>14658.090177</v>
      </c>
      <c r="H1212" s="283"/>
      <c r="I1212" s="283"/>
      <c r="J1212" s="283"/>
      <c r="K1212" s="285">
        <v>14658.090177</v>
      </c>
      <c r="L1212" s="285">
        <v>0</v>
      </c>
      <c r="M1212" s="285">
        <f t="shared" si="249"/>
        <v>13193.1</v>
      </c>
      <c r="N1212" s="24"/>
      <c r="O1212" s="24"/>
      <c r="P1212" s="24"/>
      <c r="Q1212" s="24"/>
      <c r="R1212" s="24"/>
      <c r="S1212" s="285">
        <v>13193.1</v>
      </c>
      <c r="T1212" s="23"/>
      <c r="V1212" s="6">
        <f t="shared" si="246"/>
        <v>0</v>
      </c>
    </row>
    <row r="1213" spans="1:22" ht="30">
      <c r="A1213" s="294">
        <v>3</v>
      </c>
      <c r="B1213" s="281" t="s">
        <v>2339</v>
      </c>
      <c r="C1213" s="282" t="s">
        <v>2340</v>
      </c>
      <c r="D1213" s="283" t="s">
        <v>31</v>
      </c>
      <c r="E1213" s="284" t="s">
        <v>2341</v>
      </c>
      <c r="F1213" s="283" t="s">
        <v>2342</v>
      </c>
      <c r="G1213" s="283">
        <f>K1213</f>
        <v>14989.891653999999</v>
      </c>
      <c r="H1213" s="283"/>
      <c r="I1213" s="283"/>
      <c r="J1213" s="283"/>
      <c r="K1213" s="285">
        <v>14989.891653999999</v>
      </c>
      <c r="L1213" s="285">
        <v>0</v>
      </c>
      <c r="M1213" s="285">
        <f t="shared" si="249"/>
        <v>13500</v>
      </c>
      <c r="N1213" s="24"/>
      <c r="O1213" s="24"/>
      <c r="P1213" s="24"/>
      <c r="Q1213" s="24"/>
      <c r="R1213" s="24"/>
      <c r="S1213" s="285">
        <v>13500</v>
      </c>
      <c r="T1213" s="23"/>
      <c r="V1213" s="6">
        <f t="shared" si="246"/>
        <v>0</v>
      </c>
    </row>
    <row r="1214" spans="1:22" ht="30">
      <c r="A1214" s="294">
        <v>4</v>
      </c>
      <c r="B1214" s="281" t="s">
        <v>2343</v>
      </c>
      <c r="C1214" s="282" t="s">
        <v>2344</v>
      </c>
      <c r="D1214" s="283" t="s">
        <v>31</v>
      </c>
      <c r="E1214" s="284" t="s">
        <v>2345</v>
      </c>
      <c r="F1214" s="283" t="s">
        <v>2346</v>
      </c>
      <c r="G1214" s="283">
        <f t="shared" ref="G1214:G1263" si="251">K1214</f>
        <v>14787.78875</v>
      </c>
      <c r="H1214" s="283"/>
      <c r="I1214" s="283"/>
      <c r="J1214" s="283"/>
      <c r="K1214" s="285">
        <v>14787.78875</v>
      </c>
      <c r="L1214" s="285">
        <v>0</v>
      </c>
      <c r="M1214" s="285">
        <f t="shared" si="249"/>
        <v>14600.355</v>
      </c>
      <c r="N1214" s="24"/>
      <c r="O1214" s="24"/>
      <c r="P1214" s="24"/>
      <c r="Q1214" s="24"/>
      <c r="R1214" s="24"/>
      <c r="S1214" s="285">
        <v>14600.355</v>
      </c>
      <c r="T1214" s="23"/>
      <c r="V1214" s="6">
        <f t="shared" si="246"/>
        <v>0</v>
      </c>
    </row>
    <row r="1215" spans="1:22" ht="90">
      <c r="A1215" s="294">
        <v>5</v>
      </c>
      <c r="B1215" s="281" t="s">
        <v>2347</v>
      </c>
      <c r="C1215" s="282" t="s">
        <v>2348</v>
      </c>
      <c r="D1215" s="283" t="s">
        <v>31</v>
      </c>
      <c r="E1215" s="284" t="s">
        <v>2349</v>
      </c>
      <c r="F1215" s="283" t="s">
        <v>2350</v>
      </c>
      <c r="G1215" s="283">
        <f t="shared" si="251"/>
        <v>8841.9843670000009</v>
      </c>
      <c r="H1215" s="283"/>
      <c r="I1215" s="283"/>
      <c r="J1215" s="283"/>
      <c r="K1215" s="285">
        <v>8841.9843670000009</v>
      </c>
      <c r="L1215" s="285">
        <v>0</v>
      </c>
      <c r="M1215" s="285">
        <f t="shared" si="249"/>
        <v>8524.1720000000005</v>
      </c>
      <c r="N1215" s="24"/>
      <c r="O1215" s="24"/>
      <c r="P1215" s="24"/>
      <c r="Q1215" s="24"/>
      <c r="R1215" s="24"/>
      <c r="S1215" s="285">
        <v>8524.1720000000005</v>
      </c>
      <c r="T1215" s="23"/>
      <c r="V1215" s="6">
        <f t="shared" si="246"/>
        <v>0</v>
      </c>
    </row>
    <row r="1216" spans="1:22" ht="60">
      <c r="A1216" s="294">
        <v>6</v>
      </c>
      <c r="B1216" s="281" t="s">
        <v>2351</v>
      </c>
      <c r="C1216" s="282" t="s">
        <v>2352</v>
      </c>
      <c r="D1216" s="283" t="s">
        <v>31</v>
      </c>
      <c r="E1216" s="284" t="s">
        <v>2353</v>
      </c>
      <c r="F1216" s="283" t="s">
        <v>2354</v>
      </c>
      <c r="G1216" s="283">
        <f t="shared" si="251"/>
        <v>4558.6626919999999</v>
      </c>
      <c r="H1216" s="283"/>
      <c r="I1216" s="283"/>
      <c r="J1216" s="283"/>
      <c r="K1216" s="285">
        <v>4558.6626919999999</v>
      </c>
      <c r="L1216" s="285">
        <v>0</v>
      </c>
      <c r="M1216" s="285">
        <f t="shared" si="249"/>
        <v>4196.3649999999998</v>
      </c>
      <c r="N1216" s="211"/>
      <c r="O1216" s="211"/>
      <c r="P1216" s="211"/>
      <c r="Q1216" s="211"/>
      <c r="R1216" s="211"/>
      <c r="S1216" s="285">
        <v>4196.3649999999998</v>
      </c>
      <c r="T1216" s="23"/>
      <c r="V1216" s="6">
        <f t="shared" si="246"/>
        <v>0</v>
      </c>
    </row>
    <row r="1217" spans="1:22" ht="30">
      <c r="A1217" s="294">
        <v>7</v>
      </c>
      <c r="B1217" s="286" t="s">
        <v>2355</v>
      </c>
      <c r="C1217" s="287" t="s">
        <v>2356</v>
      </c>
      <c r="D1217" s="283" t="s">
        <v>31</v>
      </c>
      <c r="E1217" s="284" t="s">
        <v>2357</v>
      </c>
      <c r="F1217" s="283" t="s">
        <v>2358</v>
      </c>
      <c r="G1217" s="283">
        <f t="shared" si="251"/>
        <v>9096.1530000000002</v>
      </c>
      <c r="H1217" s="283"/>
      <c r="I1217" s="283"/>
      <c r="J1217" s="283"/>
      <c r="K1217" s="285">
        <v>9096.1530000000002</v>
      </c>
      <c r="L1217" s="285">
        <v>0</v>
      </c>
      <c r="M1217" s="285">
        <f t="shared" si="249"/>
        <v>9910</v>
      </c>
      <c r="N1217" s="211"/>
      <c r="O1217" s="211"/>
      <c r="P1217" s="211"/>
      <c r="Q1217" s="211"/>
      <c r="R1217" s="211"/>
      <c r="S1217" s="285">
        <v>9910</v>
      </c>
      <c r="T1217" s="23"/>
      <c r="V1217" s="6">
        <f t="shared" si="246"/>
        <v>0</v>
      </c>
    </row>
    <row r="1218" spans="1:22" ht="30">
      <c r="A1218" s="294">
        <v>8</v>
      </c>
      <c r="B1218" s="286" t="s">
        <v>2359</v>
      </c>
      <c r="C1218" s="287" t="s">
        <v>2360</v>
      </c>
      <c r="D1218" s="283" t="s">
        <v>31</v>
      </c>
      <c r="E1218" s="284" t="s">
        <v>2361</v>
      </c>
      <c r="F1218" s="283" t="s">
        <v>2362</v>
      </c>
      <c r="G1218" s="283">
        <f t="shared" si="251"/>
        <v>2835.2094700000002</v>
      </c>
      <c r="H1218" s="283"/>
      <c r="I1218" s="283"/>
      <c r="J1218" s="283"/>
      <c r="K1218" s="285">
        <v>2835.2094700000002</v>
      </c>
      <c r="L1218" s="285">
        <v>0</v>
      </c>
      <c r="M1218" s="285">
        <f t="shared" si="249"/>
        <v>2343.7060000000001</v>
      </c>
      <c r="N1218" s="211"/>
      <c r="O1218" s="211"/>
      <c r="P1218" s="211"/>
      <c r="Q1218" s="211"/>
      <c r="R1218" s="211"/>
      <c r="S1218" s="285">
        <v>2343.7060000000001</v>
      </c>
      <c r="T1218" s="23"/>
      <c r="V1218" s="6">
        <f t="shared" si="246"/>
        <v>0</v>
      </c>
    </row>
    <row r="1219" spans="1:22" ht="30">
      <c r="A1219" s="294">
        <v>9</v>
      </c>
      <c r="B1219" s="286" t="s">
        <v>2363</v>
      </c>
      <c r="C1219" s="287" t="s">
        <v>2364</v>
      </c>
      <c r="D1219" s="283" t="s">
        <v>31</v>
      </c>
      <c r="E1219" s="284" t="s">
        <v>2365</v>
      </c>
      <c r="F1219" s="283" t="s">
        <v>2366</v>
      </c>
      <c r="G1219" s="283">
        <f t="shared" si="251"/>
        <v>6928.0680000000002</v>
      </c>
      <c r="H1219" s="283"/>
      <c r="I1219" s="283"/>
      <c r="J1219" s="283"/>
      <c r="K1219" s="285">
        <v>6928.0680000000002</v>
      </c>
      <c r="L1219" s="285">
        <v>0</v>
      </c>
      <c r="M1219" s="285">
        <f t="shared" si="249"/>
        <v>6311.2669999999998</v>
      </c>
      <c r="N1219" s="211"/>
      <c r="O1219" s="211"/>
      <c r="P1219" s="211"/>
      <c r="Q1219" s="211"/>
      <c r="R1219" s="211"/>
      <c r="S1219" s="285">
        <v>6311.2669999999998</v>
      </c>
      <c r="T1219" s="23"/>
      <c r="V1219" s="6">
        <f t="shared" si="246"/>
        <v>0</v>
      </c>
    </row>
    <row r="1220" spans="1:22" ht="30">
      <c r="A1220" s="294">
        <v>10</v>
      </c>
      <c r="B1220" s="286" t="s">
        <v>2367</v>
      </c>
      <c r="C1220" s="287" t="s">
        <v>2368</v>
      </c>
      <c r="D1220" s="283" t="s">
        <v>31</v>
      </c>
      <c r="E1220" s="284" t="s">
        <v>2369</v>
      </c>
      <c r="F1220" s="283" t="s">
        <v>2370</v>
      </c>
      <c r="G1220" s="283">
        <f t="shared" si="251"/>
        <v>3448.4229999999998</v>
      </c>
      <c r="H1220" s="283"/>
      <c r="I1220" s="283"/>
      <c r="J1220" s="283"/>
      <c r="K1220" s="285">
        <v>3448.4229999999998</v>
      </c>
      <c r="L1220" s="285">
        <v>0</v>
      </c>
      <c r="M1220" s="285">
        <f t="shared" si="249"/>
        <v>3159.3130000000001</v>
      </c>
      <c r="N1220" s="211"/>
      <c r="O1220" s="211"/>
      <c r="P1220" s="211"/>
      <c r="Q1220" s="211"/>
      <c r="R1220" s="211"/>
      <c r="S1220" s="285">
        <v>3159.3130000000001</v>
      </c>
      <c r="T1220" s="23"/>
      <c r="V1220" s="6">
        <f t="shared" si="246"/>
        <v>0</v>
      </c>
    </row>
    <row r="1221" spans="1:22" ht="60">
      <c r="A1221" s="294">
        <v>11</v>
      </c>
      <c r="B1221" s="286" t="s">
        <v>2371</v>
      </c>
      <c r="C1221" s="287" t="s">
        <v>2372</v>
      </c>
      <c r="D1221" s="283" t="s">
        <v>31</v>
      </c>
      <c r="E1221" s="284" t="s">
        <v>2373</v>
      </c>
      <c r="F1221" s="283" t="s">
        <v>2374</v>
      </c>
      <c r="G1221" s="283">
        <f t="shared" si="251"/>
        <v>14806.532111</v>
      </c>
      <c r="H1221" s="283"/>
      <c r="I1221" s="283"/>
      <c r="J1221" s="283"/>
      <c r="K1221" s="285">
        <v>14806.532111</v>
      </c>
      <c r="L1221" s="285">
        <v>0</v>
      </c>
      <c r="M1221" s="285">
        <f t="shared" si="249"/>
        <v>13338</v>
      </c>
      <c r="N1221" s="211"/>
      <c r="O1221" s="211"/>
      <c r="P1221" s="211"/>
      <c r="Q1221" s="211"/>
      <c r="R1221" s="211"/>
      <c r="S1221" s="285">
        <v>13338</v>
      </c>
      <c r="T1221" s="23"/>
      <c r="V1221" s="6">
        <f t="shared" si="246"/>
        <v>0</v>
      </c>
    </row>
    <row r="1222" spans="1:22" ht="60">
      <c r="A1222" s="294">
        <v>12</v>
      </c>
      <c r="B1222" s="286" t="s">
        <v>2375</v>
      </c>
      <c r="C1222" s="287" t="s">
        <v>2332</v>
      </c>
      <c r="D1222" s="283" t="s">
        <v>31</v>
      </c>
      <c r="E1222" s="284" t="s">
        <v>2376</v>
      </c>
      <c r="F1222" s="283" t="s">
        <v>2377</v>
      </c>
      <c r="G1222" s="283">
        <f t="shared" si="251"/>
        <v>3819.2310560000001</v>
      </c>
      <c r="H1222" s="283"/>
      <c r="I1222" s="283"/>
      <c r="J1222" s="283"/>
      <c r="K1222" s="285">
        <v>3819.2310560000001</v>
      </c>
      <c r="L1222" s="285">
        <v>0</v>
      </c>
      <c r="M1222" s="285">
        <f t="shared" si="249"/>
        <v>3763.45</v>
      </c>
      <c r="N1222" s="211"/>
      <c r="O1222" s="211"/>
      <c r="P1222" s="211"/>
      <c r="Q1222" s="211"/>
      <c r="R1222" s="211"/>
      <c r="S1222" s="285">
        <v>3763.45</v>
      </c>
      <c r="T1222" s="23"/>
      <c r="V1222" s="6">
        <f t="shared" si="246"/>
        <v>0</v>
      </c>
    </row>
    <row r="1223" spans="1:22" ht="60">
      <c r="A1223" s="294">
        <v>13</v>
      </c>
      <c r="B1223" s="286" t="s">
        <v>2378</v>
      </c>
      <c r="C1223" s="287" t="s">
        <v>2379</v>
      </c>
      <c r="D1223" s="283" t="s">
        <v>31</v>
      </c>
      <c r="E1223" s="284" t="s">
        <v>2380</v>
      </c>
      <c r="F1223" s="283" t="s">
        <v>2381</v>
      </c>
      <c r="G1223" s="283">
        <f t="shared" si="251"/>
        <v>997.49868500000002</v>
      </c>
      <c r="H1223" s="283"/>
      <c r="I1223" s="283"/>
      <c r="J1223" s="283"/>
      <c r="K1223" s="285">
        <v>997.49868500000002</v>
      </c>
      <c r="L1223" s="285">
        <v>0</v>
      </c>
      <c r="M1223" s="285">
        <f t="shared" si="249"/>
        <v>954.10199999999998</v>
      </c>
      <c r="N1223" s="211"/>
      <c r="O1223" s="211"/>
      <c r="P1223" s="211"/>
      <c r="Q1223" s="211"/>
      <c r="R1223" s="211"/>
      <c r="S1223" s="285">
        <v>954.10199999999998</v>
      </c>
      <c r="T1223" s="23"/>
      <c r="V1223" s="6">
        <f t="shared" si="246"/>
        <v>0</v>
      </c>
    </row>
    <row r="1224" spans="1:22" ht="45">
      <c r="A1224" s="294">
        <v>14</v>
      </c>
      <c r="B1224" s="286" t="s">
        <v>2382</v>
      </c>
      <c r="C1224" s="287" t="s">
        <v>2352</v>
      </c>
      <c r="D1224" s="283" t="s">
        <v>31</v>
      </c>
      <c r="E1224" s="284" t="s">
        <v>2383</v>
      </c>
      <c r="F1224" s="283" t="s">
        <v>2384</v>
      </c>
      <c r="G1224" s="283">
        <f t="shared" si="251"/>
        <v>12546.364</v>
      </c>
      <c r="H1224" s="283"/>
      <c r="I1224" s="283"/>
      <c r="J1224" s="283"/>
      <c r="K1224" s="285">
        <v>12546.364</v>
      </c>
      <c r="L1224" s="285">
        <v>0</v>
      </c>
      <c r="M1224" s="285">
        <f t="shared" si="249"/>
        <v>13182.511</v>
      </c>
      <c r="N1224" s="211"/>
      <c r="O1224" s="211"/>
      <c r="P1224" s="211"/>
      <c r="Q1224" s="211"/>
      <c r="R1224" s="211"/>
      <c r="S1224" s="285">
        <v>13182.511</v>
      </c>
      <c r="T1224" s="23"/>
      <c r="V1224" s="6">
        <f t="shared" si="246"/>
        <v>0</v>
      </c>
    </row>
    <row r="1225" spans="1:22" ht="45">
      <c r="A1225" s="294">
        <v>15</v>
      </c>
      <c r="B1225" s="286" t="s">
        <v>2385</v>
      </c>
      <c r="C1225" s="287" t="s">
        <v>2316</v>
      </c>
      <c r="D1225" s="283" t="s">
        <v>31</v>
      </c>
      <c r="E1225" s="284" t="s">
        <v>2386</v>
      </c>
      <c r="F1225" s="283" t="s">
        <v>2387</v>
      </c>
      <c r="G1225" s="283">
        <f t="shared" si="251"/>
        <v>10998.58</v>
      </c>
      <c r="H1225" s="283"/>
      <c r="I1225" s="283"/>
      <c r="J1225" s="283"/>
      <c r="K1225" s="285">
        <v>10998.58</v>
      </c>
      <c r="L1225" s="285">
        <v>0</v>
      </c>
      <c r="M1225" s="285">
        <f t="shared" si="249"/>
        <v>11981.856</v>
      </c>
      <c r="N1225" s="211"/>
      <c r="O1225" s="211"/>
      <c r="P1225" s="211"/>
      <c r="Q1225" s="211"/>
      <c r="R1225" s="211"/>
      <c r="S1225" s="285">
        <v>11981.856</v>
      </c>
      <c r="T1225" s="23"/>
      <c r="V1225" s="6">
        <f t="shared" si="246"/>
        <v>0</v>
      </c>
    </row>
    <row r="1226" spans="1:22" ht="30">
      <c r="A1226" s="294">
        <v>16</v>
      </c>
      <c r="B1226" s="286" t="s">
        <v>2388</v>
      </c>
      <c r="C1226" s="287" t="s">
        <v>2321</v>
      </c>
      <c r="D1226" s="283" t="s">
        <v>31</v>
      </c>
      <c r="E1226" s="284" t="s">
        <v>2389</v>
      </c>
      <c r="F1226" s="283" t="s">
        <v>2390</v>
      </c>
      <c r="G1226" s="283">
        <f t="shared" si="251"/>
        <v>1929.0980930000001</v>
      </c>
      <c r="H1226" s="283"/>
      <c r="I1226" s="283"/>
      <c r="J1226" s="283"/>
      <c r="K1226" s="285">
        <v>1929.0980930000001</v>
      </c>
      <c r="L1226" s="285">
        <v>0</v>
      </c>
      <c r="M1226" s="285">
        <f t="shared" si="249"/>
        <v>1804.7080000000001</v>
      </c>
      <c r="N1226" s="211"/>
      <c r="O1226" s="211"/>
      <c r="P1226" s="211"/>
      <c r="Q1226" s="211"/>
      <c r="R1226" s="211"/>
      <c r="S1226" s="285">
        <v>1804.7080000000001</v>
      </c>
      <c r="T1226" s="23"/>
      <c r="V1226" s="6">
        <f t="shared" si="246"/>
        <v>0</v>
      </c>
    </row>
    <row r="1227" spans="1:22" ht="30">
      <c r="A1227" s="294">
        <v>17</v>
      </c>
      <c r="B1227" s="286" t="s">
        <v>2391</v>
      </c>
      <c r="C1227" s="287" t="s">
        <v>2344</v>
      </c>
      <c r="D1227" s="283" t="s">
        <v>31</v>
      </c>
      <c r="E1227" s="284" t="s">
        <v>2392</v>
      </c>
      <c r="F1227" s="283" t="s">
        <v>2393</v>
      </c>
      <c r="G1227" s="283">
        <f t="shared" si="251"/>
        <v>2243.4829890000001</v>
      </c>
      <c r="H1227" s="283"/>
      <c r="I1227" s="283"/>
      <c r="J1227" s="283"/>
      <c r="K1227" s="285">
        <v>2243.4829890000001</v>
      </c>
      <c r="L1227" s="285">
        <v>0</v>
      </c>
      <c r="M1227" s="285">
        <f t="shared" si="249"/>
        <v>2014.1510000000001</v>
      </c>
      <c r="N1227" s="211"/>
      <c r="O1227" s="211"/>
      <c r="P1227" s="211"/>
      <c r="Q1227" s="211"/>
      <c r="R1227" s="211"/>
      <c r="S1227" s="285">
        <v>2014.1510000000001</v>
      </c>
      <c r="T1227" s="23"/>
      <c r="V1227" s="6">
        <f t="shared" si="246"/>
        <v>0</v>
      </c>
    </row>
    <row r="1228" spans="1:22" ht="45">
      <c r="A1228" s="294">
        <v>18</v>
      </c>
      <c r="B1228" s="286" t="s">
        <v>2394</v>
      </c>
      <c r="C1228" s="287" t="s">
        <v>2332</v>
      </c>
      <c r="D1228" s="283" t="s">
        <v>31</v>
      </c>
      <c r="E1228" s="284" t="s">
        <v>2395</v>
      </c>
      <c r="F1228" s="283" t="s">
        <v>2396</v>
      </c>
      <c r="G1228" s="283">
        <f t="shared" si="251"/>
        <v>12207.625259</v>
      </c>
      <c r="H1228" s="283"/>
      <c r="I1228" s="283"/>
      <c r="J1228" s="283"/>
      <c r="K1228" s="285">
        <v>12207.625259</v>
      </c>
      <c r="L1228" s="285">
        <v>0</v>
      </c>
      <c r="M1228" s="285">
        <f t="shared" si="249"/>
        <v>10519.42</v>
      </c>
      <c r="N1228" s="211"/>
      <c r="O1228" s="211"/>
      <c r="P1228" s="211"/>
      <c r="Q1228" s="211"/>
      <c r="R1228" s="211"/>
      <c r="S1228" s="285">
        <v>10519.42</v>
      </c>
      <c r="T1228" s="23"/>
      <c r="V1228" s="6">
        <f t="shared" si="246"/>
        <v>0</v>
      </c>
    </row>
    <row r="1229" spans="1:22" ht="30">
      <c r="A1229" s="294">
        <v>19</v>
      </c>
      <c r="B1229" s="286" t="s">
        <v>2397</v>
      </c>
      <c r="C1229" s="287" t="s">
        <v>2336</v>
      </c>
      <c r="D1229" s="283" t="s">
        <v>31</v>
      </c>
      <c r="E1229" s="284" t="s">
        <v>2398</v>
      </c>
      <c r="F1229" s="283" t="s">
        <v>2399</v>
      </c>
      <c r="G1229" s="283">
        <f t="shared" si="251"/>
        <v>9881.9171400000014</v>
      </c>
      <c r="H1229" s="283"/>
      <c r="I1229" s="283"/>
      <c r="J1229" s="283"/>
      <c r="K1229" s="285">
        <v>9881.9171400000014</v>
      </c>
      <c r="L1229" s="285">
        <v>0</v>
      </c>
      <c r="M1229" s="285">
        <f t="shared" si="249"/>
        <v>8897.9539999999997</v>
      </c>
      <c r="N1229" s="211"/>
      <c r="O1229" s="211"/>
      <c r="P1229" s="211"/>
      <c r="Q1229" s="211"/>
      <c r="R1229" s="211"/>
      <c r="S1229" s="285">
        <v>8897.9539999999997</v>
      </c>
      <c r="T1229" s="23"/>
      <c r="V1229" s="6">
        <f t="shared" si="246"/>
        <v>0</v>
      </c>
    </row>
    <row r="1230" spans="1:22" ht="45">
      <c r="A1230" s="294">
        <v>20</v>
      </c>
      <c r="B1230" s="286" t="s">
        <v>2400</v>
      </c>
      <c r="C1230" s="287" t="s">
        <v>2332</v>
      </c>
      <c r="D1230" s="283" t="s">
        <v>31</v>
      </c>
      <c r="E1230" s="284" t="s">
        <v>2401</v>
      </c>
      <c r="F1230" s="283" t="s">
        <v>2402</v>
      </c>
      <c r="G1230" s="283">
        <f t="shared" si="251"/>
        <v>7516.3917690000007</v>
      </c>
      <c r="H1230" s="283"/>
      <c r="I1230" s="283"/>
      <c r="J1230" s="283"/>
      <c r="K1230" s="285">
        <v>7516.3917690000007</v>
      </c>
      <c r="L1230" s="285">
        <v>0</v>
      </c>
      <c r="M1230" s="285">
        <f t="shared" si="249"/>
        <v>7287</v>
      </c>
      <c r="N1230" s="211"/>
      <c r="O1230" s="211"/>
      <c r="P1230" s="211"/>
      <c r="Q1230" s="211"/>
      <c r="R1230" s="211"/>
      <c r="S1230" s="285">
        <v>7287</v>
      </c>
      <c r="T1230" s="23"/>
      <c r="V1230" s="6">
        <f t="shared" si="246"/>
        <v>0</v>
      </c>
    </row>
    <row r="1231" spans="1:22" ht="30">
      <c r="A1231" s="294">
        <v>21</v>
      </c>
      <c r="B1231" s="286" t="s">
        <v>2403</v>
      </c>
      <c r="C1231" s="287" t="s">
        <v>2379</v>
      </c>
      <c r="D1231" s="283" t="s">
        <v>31</v>
      </c>
      <c r="E1231" s="284" t="s">
        <v>2404</v>
      </c>
      <c r="F1231" s="283" t="s">
        <v>2405</v>
      </c>
      <c r="G1231" s="283">
        <f t="shared" si="251"/>
        <v>10458.56</v>
      </c>
      <c r="H1231" s="283"/>
      <c r="I1231" s="283"/>
      <c r="J1231" s="283"/>
      <c r="K1231" s="285">
        <v>10458.56</v>
      </c>
      <c r="L1231" s="285">
        <v>0</v>
      </c>
      <c r="M1231" s="285">
        <f t="shared" si="249"/>
        <v>11280.967000000001</v>
      </c>
      <c r="N1231" s="211"/>
      <c r="O1231" s="211"/>
      <c r="P1231" s="211"/>
      <c r="Q1231" s="211"/>
      <c r="R1231" s="211"/>
      <c r="S1231" s="285">
        <v>11280.967000000001</v>
      </c>
      <c r="T1231" s="23"/>
      <c r="V1231" s="6">
        <f t="shared" si="246"/>
        <v>0</v>
      </c>
    </row>
    <row r="1232" spans="1:22" ht="45">
      <c r="A1232" s="294">
        <v>22</v>
      </c>
      <c r="B1232" s="286" t="s">
        <v>2406</v>
      </c>
      <c r="C1232" s="287" t="s">
        <v>2407</v>
      </c>
      <c r="D1232" s="283" t="s">
        <v>31</v>
      </c>
      <c r="E1232" s="284" t="s">
        <v>2408</v>
      </c>
      <c r="F1232" s="283" t="s">
        <v>2409</v>
      </c>
      <c r="G1232" s="283">
        <f t="shared" si="251"/>
        <v>10469.531570000001</v>
      </c>
      <c r="H1232" s="283"/>
      <c r="I1232" s="283"/>
      <c r="J1232" s="283"/>
      <c r="K1232" s="285">
        <v>10469.531570000001</v>
      </c>
      <c r="L1232" s="285">
        <v>0</v>
      </c>
      <c r="M1232" s="285">
        <f t="shared" si="249"/>
        <v>9429.7880000000005</v>
      </c>
      <c r="N1232" s="211"/>
      <c r="O1232" s="211"/>
      <c r="P1232" s="211"/>
      <c r="Q1232" s="211"/>
      <c r="R1232" s="211"/>
      <c r="S1232" s="285">
        <v>9429.7880000000005</v>
      </c>
      <c r="T1232" s="23"/>
      <c r="V1232" s="6">
        <f t="shared" si="246"/>
        <v>0</v>
      </c>
    </row>
    <row r="1233" spans="1:22" ht="45">
      <c r="A1233" s="294">
        <v>23</v>
      </c>
      <c r="B1233" s="286" t="s">
        <v>2410</v>
      </c>
      <c r="C1233" s="287" t="s">
        <v>2411</v>
      </c>
      <c r="D1233" s="283" t="s">
        <v>31</v>
      </c>
      <c r="E1233" s="284" t="s">
        <v>2412</v>
      </c>
      <c r="F1233" s="283" t="s">
        <v>2413</v>
      </c>
      <c r="G1233" s="283">
        <f t="shared" si="251"/>
        <v>4439.739329</v>
      </c>
      <c r="H1233" s="283"/>
      <c r="I1233" s="283"/>
      <c r="J1233" s="283"/>
      <c r="K1233" s="285">
        <v>4439.739329</v>
      </c>
      <c r="L1233" s="285">
        <v>0</v>
      </c>
      <c r="M1233" s="285">
        <f t="shared" si="249"/>
        <v>3955.6149999999998</v>
      </c>
      <c r="N1233" s="211"/>
      <c r="O1233" s="211"/>
      <c r="P1233" s="211"/>
      <c r="Q1233" s="211"/>
      <c r="R1233" s="211"/>
      <c r="S1233" s="285">
        <v>3955.6149999999998</v>
      </c>
      <c r="T1233" s="23"/>
      <c r="V1233" s="6">
        <f t="shared" si="246"/>
        <v>0</v>
      </c>
    </row>
    <row r="1234" spans="1:22" ht="45">
      <c r="A1234" s="294">
        <v>24</v>
      </c>
      <c r="B1234" s="286" t="s">
        <v>2414</v>
      </c>
      <c r="C1234" s="287" t="s">
        <v>2415</v>
      </c>
      <c r="D1234" s="283" t="s">
        <v>31</v>
      </c>
      <c r="E1234" s="284" t="s">
        <v>2416</v>
      </c>
      <c r="F1234" s="283" t="s">
        <v>2417</v>
      </c>
      <c r="G1234" s="283">
        <f t="shared" si="251"/>
        <v>11440.008255000001</v>
      </c>
      <c r="H1234" s="283"/>
      <c r="I1234" s="283"/>
      <c r="J1234" s="283"/>
      <c r="K1234" s="285">
        <v>11440.008255000001</v>
      </c>
      <c r="L1234" s="285">
        <v>0</v>
      </c>
      <c r="M1234" s="285">
        <f t="shared" si="249"/>
        <v>10300</v>
      </c>
      <c r="N1234" s="211"/>
      <c r="O1234" s="211"/>
      <c r="P1234" s="211"/>
      <c r="Q1234" s="211"/>
      <c r="R1234" s="211"/>
      <c r="S1234" s="285">
        <v>10300</v>
      </c>
      <c r="T1234" s="23"/>
      <c r="V1234" s="6">
        <f t="shared" si="246"/>
        <v>0</v>
      </c>
    </row>
    <row r="1235" spans="1:22" ht="45">
      <c r="A1235" s="294">
        <v>25</v>
      </c>
      <c r="B1235" s="286" t="s">
        <v>2418</v>
      </c>
      <c r="C1235" s="287" t="s">
        <v>2419</v>
      </c>
      <c r="D1235" s="283" t="s">
        <v>31</v>
      </c>
      <c r="E1235" s="284" t="s">
        <v>2420</v>
      </c>
      <c r="F1235" s="283" t="s">
        <v>2421</v>
      </c>
      <c r="G1235" s="283">
        <f t="shared" si="251"/>
        <v>14760.333072000001</v>
      </c>
      <c r="H1235" s="283"/>
      <c r="I1235" s="283"/>
      <c r="J1235" s="283"/>
      <c r="K1235" s="285">
        <v>14760.333072000001</v>
      </c>
      <c r="L1235" s="285">
        <v>0</v>
      </c>
      <c r="M1235" s="285">
        <f t="shared" si="249"/>
        <v>13278.162</v>
      </c>
      <c r="N1235" s="211"/>
      <c r="O1235" s="211"/>
      <c r="P1235" s="211"/>
      <c r="Q1235" s="211"/>
      <c r="R1235" s="211"/>
      <c r="S1235" s="285">
        <v>13278.162</v>
      </c>
      <c r="T1235" s="23"/>
      <c r="V1235" s="6">
        <f t="shared" si="246"/>
        <v>0</v>
      </c>
    </row>
    <row r="1236" spans="1:22" ht="45">
      <c r="A1236" s="294">
        <v>26</v>
      </c>
      <c r="B1236" s="286" t="s">
        <v>2422</v>
      </c>
      <c r="C1236" s="287" t="s">
        <v>2360</v>
      </c>
      <c r="D1236" s="283" t="s">
        <v>31</v>
      </c>
      <c r="E1236" s="284" t="s">
        <v>2423</v>
      </c>
      <c r="F1236" s="283" t="s">
        <v>2424</v>
      </c>
      <c r="G1236" s="283">
        <f t="shared" si="251"/>
        <v>256.09475800000001</v>
      </c>
      <c r="H1236" s="283"/>
      <c r="I1236" s="283"/>
      <c r="J1236" s="283"/>
      <c r="K1236" s="285">
        <v>256.09475800000001</v>
      </c>
      <c r="L1236" s="285">
        <v>0</v>
      </c>
      <c r="M1236" s="285">
        <f t="shared" si="249"/>
        <v>354.25</v>
      </c>
      <c r="N1236" s="211"/>
      <c r="O1236" s="211"/>
      <c r="P1236" s="211"/>
      <c r="Q1236" s="211"/>
      <c r="R1236" s="211"/>
      <c r="S1236" s="285">
        <v>354.25</v>
      </c>
      <c r="T1236" s="23"/>
      <c r="V1236" s="6">
        <f t="shared" ref="V1236:V1299" si="252">G1236-H1236-I1236-J1236-K1236</f>
        <v>0</v>
      </c>
    </row>
    <row r="1237" spans="1:22" ht="30">
      <c r="A1237" s="294">
        <v>27</v>
      </c>
      <c r="B1237" s="286" t="s">
        <v>2425</v>
      </c>
      <c r="C1237" s="287" t="s">
        <v>2330</v>
      </c>
      <c r="D1237" s="283" t="s">
        <v>31</v>
      </c>
      <c r="E1237" s="284" t="s">
        <v>2426</v>
      </c>
      <c r="F1237" s="283" t="s">
        <v>2427</v>
      </c>
      <c r="G1237" s="283">
        <f t="shared" si="251"/>
        <v>943.748514</v>
      </c>
      <c r="H1237" s="283"/>
      <c r="I1237" s="283"/>
      <c r="J1237" s="283"/>
      <c r="K1237" s="285">
        <v>943.748514</v>
      </c>
      <c r="L1237" s="285">
        <v>0</v>
      </c>
      <c r="M1237" s="285">
        <f t="shared" si="249"/>
        <v>825</v>
      </c>
      <c r="N1237" s="211"/>
      <c r="O1237" s="211"/>
      <c r="P1237" s="211"/>
      <c r="Q1237" s="211"/>
      <c r="R1237" s="211"/>
      <c r="S1237" s="285">
        <v>825</v>
      </c>
      <c r="T1237" s="23"/>
      <c r="V1237" s="6">
        <f t="shared" si="252"/>
        <v>0</v>
      </c>
    </row>
    <row r="1238" spans="1:22" ht="45">
      <c r="A1238" s="294">
        <v>28</v>
      </c>
      <c r="B1238" s="286" t="s">
        <v>2428</v>
      </c>
      <c r="C1238" s="287" t="s">
        <v>2330</v>
      </c>
      <c r="D1238" s="283" t="s">
        <v>31</v>
      </c>
      <c r="E1238" s="284" t="s">
        <v>2429</v>
      </c>
      <c r="F1238" s="283" t="s">
        <v>2430</v>
      </c>
      <c r="G1238" s="283">
        <f t="shared" si="251"/>
        <v>7654.8712929999992</v>
      </c>
      <c r="H1238" s="283"/>
      <c r="I1238" s="283"/>
      <c r="J1238" s="283"/>
      <c r="K1238" s="285">
        <v>7654.8712929999992</v>
      </c>
      <c r="L1238" s="285">
        <v>0</v>
      </c>
      <c r="M1238" s="285">
        <f t="shared" si="249"/>
        <v>6920</v>
      </c>
      <c r="N1238" s="211"/>
      <c r="O1238" s="211"/>
      <c r="P1238" s="211"/>
      <c r="Q1238" s="211"/>
      <c r="R1238" s="211"/>
      <c r="S1238" s="285">
        <v>6920</v>
      </c>
      <c r="T1238" s="23"/>
      <c r="V1238" s="6">
        <f t="shared" si="252"/>
        <v>0</v>
      </c>
    </row>
    <row r="1239" spans="1:22" ht="60">
      <c r="A1239" s="294">
        <v>29</v>
      </c>
      <c r="B1239" s="286" t="s">
        <v>2431</v>
      </c>
      <c r="C1239" s="287" t="s">
        <v>2330</v>
      </c>
      <c r="D1239" s="283" t="s">
        <v>31</v>
      </c>
      <c r="E1239" s="284" t="s">
        <v>2432</v>
      </c>
      <c r="F1239" s="283" t="s">
        <v>2433</v>
      </c>
      <c r="G1239" s="283">
        <f t="shared" si="251"/>
        <v>1133.039</v>
      </c>
      <c r="H1239" s="283"/>
      <c r="I1239" s="283"/>
      <c r="J1239" s="283"/>
      <c r="K1239" s="285">
        <v>1133.039</v>
      </c>
      <c r="L1239" s="285">
        <v>0</v>
      </c>
      <c r="M1239" s="285">
        <f t="shared" si="249"/>
        <v>1037.4000000000001</v>
      </c>
      <c r="N1239" s="211"/>
      <c r="O1239" s="211"/>
      <c r="P1239" s="211"/>
      <c r="Q1239" s="211"/>
      <c r="R1239" s="211"/>
      <c r="S1239" s="285">
        <v>1037.4000000000001</v>
      </c>
      <c r="T1239" s="23"/>
      <c r="V1239" s="6">
        <f t="shared" si="252"/>
        <v>0</v>
      </c>
    </row>
    <row r="1240" spans="1:22" ht="45">
      <c r="A1240" s="294">
        <v>30</v>
      </c>
      <c r="B1240" s="286" t="s">
        <v>2434</v>
      </c>
      <c r="C1240" s="287" t="s">
        <v>2330</v>
      </c>
      <c r="D1240" s="283" t="s">
        <v>31</v>
      </c>
      <c r="E1240" s="284" t="s">
        <v>2435</v>
      </c>
      <c r="F1240" s="283" t="s">
        <v>2436</v>
      </c>
      <c r="G1240" s="283">
        <f t="shared" si="251"/>
        <v>2637.596</v>
      </c>
      <c r="H1240" s="283"/>
      <c r="I1240" s="283"/>
      <c r="J1240" s="283"/>
      <c r="K1240" s="285">
        <v>2637.596</v>
      </c>
      <c r="L1240" s="285">
        <v>0</v>
      </c>
      <c r="M1240" s="285">
        <f t="shared" si="249"/>
        <v>2374.58</v>
      </c>
      <c r="N1240" s="211"/>
      <c r="O1240" s="211"/>
      <c r="P1240" s="211"/>
      <c r="Q1240" s="211"/>
      <c r="R1240" s="211"/>
      <c r="S1240" s="285">
        <v>2374.58</v>
      </c>
      <c r="T1240" s="23"/>
      <c r="V1240" s="6">
        <f t="shared" si="252"/>
        <v>0</v>
      </c>
    </row>
    <row r="1241" spans="1:22" ht="30">
      <c r="A1241" s="294">
        <v>31</v>
      </c>
      <c r="B1241" s="286" t="s">
        <v>2437</v>
      </c>
      <c r="C1241" s="287" t="s">
        <v>2340</v>
      </c>
      <c r="D1241" s="283" t="s">
        <v>31</v>
      </c>
      <c r="E1241" s="284" t="s">
        <v>2438</v>
      </c>
      <c r="F1241" s="283" t="s">
        <v>2439</v>
      </c>
      <c r="G1241" s="283">
        <f t="shared" si="251"/>
        <v>10524.281698000001</v>
      </c>
      <c r="H1241" s="283"/>
      <c r="I1241" s="283"/>
      <c r="J1241" s="283"/>
      <c r="K1241" s="285">
        <v>10524.281698000001</v>
      </c>
      <c r="L1241" s="285">
        <v>0</v>
      </c>
      <c r="M1241" s="285">
        <f t="shared" si="249"/>
        <v>11980</v>
      </c>
      <c r="N1241" s="211"/>
      <c r="O1241" s="211"/>
      <c r="P1241" s="211"/>
      <c r="Q1241" s="211"/>
      <c r="R1241" s="211"/>
      <c r="S1241" s="285">
        <v>11980</v>
      </c>
      <c r="T1241" s="23"/>
      <c r="V1241" s="6">
        <f t="shared" si="252"/>
        <v>0</v>
      </c>
    </row>
    <row r="1242" spans="1:22" ht="45">
      <c r="A1242" s="294">
        <v>32</v>
      </c>
      <c r="B1242" s="286" t="s">
        <v>2440</v>
      </c>
      <c r="C1242" s="287" t="s">
        <v>2372</v>
      </c>
      <c r="D1242" s="283" t="s">
        <v>31</v>
      </c>
      <c r="E1242" s="284" t="s">
        <v>2441</v>
      </c>
      <c r="F1242" s="283" t="s">
        <v>2442</v>
      </c>
      <c r="G1242" s="283">
        <f t="shared" si="251"/>
        <v>4205.6160650000002</v>
      </c>
      <c r="H1242" s="283"/>
      <c r="I1242" s="283"/>
      <c r="J1242" s="283"/>
      <c r="K1242" s="285">
        <v>4205.6160650000002</v>
      </c>
      <c r="L1242" s="285">
        <v>0</v>
      </c>
      <c r="M1242" s="285">
        <f t="shared" si="249"/>
        <v>3963</v>
      </c>
      <c r="N1242" s="211"/>
      <c r="O1242" s="211"/>
      <c r="P1242" s="211"/>
      <c r="Q1242" s="211"/>
      <c r="R1242" s="211"/>
      <c r="S1242" s="285">
        <v>3963</v>
      </c>
      <c r="T1242" s="23"/>
      <c r="V1242" s="6">
        <f t="shared" si="252"/>
        <v>0</v>
      </c>
    </row>
    <row r="1243" spans="1:22" ht="30">
      <c r="A1243" s="294">
        <v>33</v>
      </c>
      <c r="B1243" s="286" t="s">
        <v>2443</v>
      </c>
      <c r="C1243" s="287" t="s">
        <v>2368</v>
      </c>
      <c r="D1243" s="283" t="s">
        <v>31</v>
      </c>
      <c r="E1243" s="284" t="s">
        <v>2444</v>
      </c>
      <c r="F1243" s="283" t="s">
        <v>2445</v>
      </c>
      <c r="G1243" s="283">
        <f t="shared" si="251"/>
        <v>1159.635227</v>
      </c>
      <c r="H1243" s="283"/>
      <c r="I1243" s="283"/>
      <c r="J1243" s="283"/>
      <c r="K1243" s="285">
        <v>1159.635227</v>
      </c>
      <c r="L1243" s="285">
        <v>0</v>
      </c>
      <c r="M1243" s="285">
        <f t="shared" si="249"/>
        <v>1080</v>
      </c>
      <c r="N1243" s="211"/>
      <c r="O1243" s="211"/>
      <c r="P1243" s="211"/>
      <c r="Q1243" s="211"/>
      <c r="R1243" s="211"/>
      <c r="S1243" s="285">
        <v>1080</v>
      </c>
      <c r="T1243" s="23"/>
      <c r="V1243" s="6">
        <f t="shared" si="252"/>
        <v>0</v>
      </c>
    </row>
    <row r="1244" spans="1:22" ht="30">
      <c r="A1244" s="294">
        <v>34</v>
      </c>
      <c r="B1244" s="286" t="s">
        <v>2446</v>
      </c>
      <c r="C1244" s="287" t="s">
        <v>2447</v>
      </c>
      <c r="D1244" s="283" t="s">
        <v>31</v>
      </c>
      <c r="E1244" s="284" t="s">
        <v>2448</v>
      </c>
      <c r="F1244" s="283" t="s">
        <v>2449</v>
      </c>
      <c r="G1244" s="283">
        <f t="shared" si="251"/>
        <v>8090.9103759999998</v>
      </c>
      <c r="H1244" s="283"/>
      <c r="I1244" s="283"/>
      <c r="J1244" s="283"/>
      <c r="K1244" s="285">
        <v>8090.9103759999998</v>
      </c>
      <c r="L1244" s="285">
        <v>0</v>
      </c>
      <c r="M1244" s="285">
        <f t="shared" si="249"/>
        <v>7270</v>
      </c>
      <c r="N1244" s="211"/>
      <c r="O1244" s="211"/>
      <c r="P1244" s="211"/>
      <c r="Q1244" s="211"/>
      <c r="R1244" s="211"/>
      <c r="S1244" s="285">
        <v>7270</v>
      </c>
      <c r="T1244" s="23"/>
      <c r="V1244" s="6">
        <f t="shared" si="252"/>
        <v>0</v>
      </c>
    </row>
    <row r="1245" spans="1:22" ht="60">
      <c r="A1245" s="294">
        <v>35</v>
      </c>
      <c r="B1245" s="286" t="s">
        <v>2450</v>
      </c>
      <c r="C1245" s="287" t="s">
        <v>2451</v>
      </c>
      <c r="D1245" s="283" t="s">
        <v>31</v>
      </c>
      <c r="E1245" s="284" t="s">
        <v>2452</v>
      </c>
      <c r="F1245" s="283" t="s">
        <v>2453</v>
      </c>
      <c r="G1245" s="283">
        <f t="shared" si="251"/>
        <v>663.30318699999998</v>
      </c>
      <c r="H1245" s="283"/>
      <c r="I1245" s="283"/>
      <c r="J1245" s="283"/>
      <c r="K1245" s="285">
        <v>663.30318699999998</v>
      </c>
      <c r="L1245" s="285">
        <v>0</v>
      </c>
      <c r="M1245" s="285">
        <f t="shared" si="249"/>
        <v>900</v>
      </c>
      <c r="N1245" s="211"/>
      <c r="O1245" s="211"/>
      <c r="P1245" s="211"/>
      <c r="Q1245" s="211"/>
      <c r="R1245" s="211"/>
      <c r="S1245" s="285">
        <v>900</v>
      </c>
      <c r="T1245" s="23"/>
      <c r="V1245" s="6">
        <f t="shared" si="252"/>
        <v>0</v>
      </c>
    </row>
    <row r="1246" spans="1:22" ht="30">
      <c r="A1246" s="294">
        <v>36</v>
      </c>
      <c r="B1246" s="286" t="s">
        <v>2454</v>
      </c>
      <c r="C1246" s="287" t="s">
        <v>2330</v>
      </c>
      <c r="D1246" s="283" t="s">
        <v>31</v>
      </c>
      <c r="E1246" s="284" t="s">
        <v>2455</v>
      </c>
      <c r="F1246" s="283" t="s">
        <v>2456</v>
      </c>
      <c r="G1246" s="283">
        <f t="shared" si="251"/>
        <v>9469.6060779999989</v>
      </c>
      <c r="H1246" s="283"/>
      <c r="I1246" s="283"/>
      <c r="J1246" s="283"/>
      <c r="K1246" s="285">
        <v>9469.6060779999989</v>
      </c>
      <c r="L1246" s="285">
        <v>0</v>
      </c>
      <c r="M1246" s="285">
        <f t="shared" si="249"/>
        <v>7934</v>
      </c>
      <c r="N1246" s="211"/>
      <c r="O1246" s="211"/>
      <c r="P1246" s="211"/>
      <c r="Q1246" s="211"/>
      <c r="R1246" s="211"/>
      <c r="S1246" s="285">
        <v>7934</v>
      </c>
      <c r="T1246" s="23"/>
      <c r="V1246" s="6">
        <f t="shared" si="252"/>
        <v>0</v>
      </c>
    </row>
    <row r="1247" spans="1:22" ht="30">
      <c r="A1247" s="294">
        <v>37</v>
      </c>
      <c r="B1247" s="286" t="s">
        <v>2457</v>
      </c>
      <c r="C1247" s="287" t="s">
        <v>2330</v>
      </c>
      <c r="D1247" s="283" t="s">
        <v>31</v>
      </c>
      <c r="E1247" s="284" t="s">
        <v>2458</v>
      </c>
      <c r="F1247" s="283" t="s">
        <v>2459</v>
      </c>
      <c r="G1247" s="283">
        <f t="shared" si="251"/>
        <v>5581.2405250000002</v>
      </c>
      <c r="H1247" s="283"/>
      <c r="I1247" s="283"/>
      <c r="J1247" s="283"/>
      <c r="K1247" s="285">
        <v>5581.2405250000002</v>
      </c>
      <c r="L1247" s="285">
        <v>0</v>
      </c>
      <c r="M1247" s="285">
        <f t="shared" si="249"/>
        <v>4480</v>
      </c>
      <c r="N1247" s="211"/>
      <c r="O1247" s="211"/>
      <c r="P1247" s="211"/>
      <c r="Q1247" s="211"/>
      <c r="R1247" s="211"/>
      <c r="S1247" s="285">
        <v>4480</v>
      </c>
      <c r="T1247" s="23"/>
      <c r="V1247" s="6">
        <f t="shared" si="252"/>
        <v>0</v>
      </c>
    </row>
    <row r="1248" spans="1:22" ht="45">
      <c r="A1248" s="294">
        <v>38</v>
      </c>
      <c r="B1248" s="286" t="s">
        <v>2460</v>
      </c>
      <c r="C1248" s="287" t="s">
        <v>2451</v>
      </c>
      <c r="D1248" s="283" t="s">
        <v>31</v>
      </c>
      <c r="E1248" s="284" t="s">
        <v>2461</v>
      </c>
      <c r="F1248" s="283" t="s">
        <v>2462</v>
      </c>
      <c r="G1248" s="283">
        <f t="shared" si="251"/>
        <v>1960.0905030000001</v>
      </c>
      <c r="H1248" s="283"/>
      <c r="I1248" s="283"/>
      <c r="J1248" s="283"/>
      <c r="K1248" s="285">
        <v>1960.0905030000001</v>
      </c>
      <c r="L1248" s="285">
        <v>0</v>
      </c>
      <c r="M1248" s="285">
        <f t="shared" si="249"/>
        <v>1560</v>
      </c>
      <c r="N1248" s="211"/>
      <c r="O1248" s="211"/>
      <c r="P1248" s="211"/>
      <c r="Q1248" s="211"/>
      <c r="R1248" s="211"/>
      <c r="S1248" s="285">
        <v>1560</v>
      </c>
      <c r="T1248" s="23"/>
      <c r="V1248" s="6">
        <f t="shared" si="252"/>
        <v>0</v>
      </c>
    </row>
    <row r="1249" spans="1:22" ht="45">
      <c r="A1249" s="294">
        <v>39</v>
      </c>
      <c r="B1249" s="281" t="s">
        <v>2463</v>
      </c>
      <c r="C1249" s="282" t="s">
        <v>2464</v>
      </c>
      <c r="D1249" s="283" t="s">
        <v>31</v>
      </c>
      <c r="E1249" s="284" t="s">
        <v>2465</v>
      </c>
      <c r="F1249" s="283" t="s">
        <v>2466</v>
      </c>
      <c r="G1249" s="283">
        <f t="shared" si="251"/>
        <v>576.99276199999997</v>
      </c>
      <c r="H1249" s="283"/>
      <c r="I1249" s="283"/>
      <c r="J1249" s="283"/>
      <c r="K1249" s="285">
        <v>576.99276199999997</v>
      </c>
      <c r="L1249" s="285">
        <v>0</v>
      </c>
      <c r="M1249" s="285">
        <f t="shared" si="249"/>
        <v>505</v>
      </c>
      <c r="N1249" s="211"/>
      <c r="O1249" s="211"/>
      <c r="P1249" s="211"/>
      <c r="Q1249" s="211"/>
      <c r="R1249" s="211"/>
      <c r="S1249" s="285">
        <v>505</v>
      </c>
      <c r="T1249" s="23"/>
      <c r="V1249" s="6">
        <f t="shared" si="252"/>
        <v>0</v>
      </c>
    </row>
    <row r="1250" spans="1:22" ht="45">
      <c r="A1250" s="294">
        <v>40</v>
      </c>
      <c r="B1250" s="281" t="s">
        <v>2467</v>
      </c>
      <c r="C1250" s="282" t="s">
        <v>2468</v>
      </c>
      <c r="D1250" s="283" t="s">
        <v>31</v>
      </c>
      <c r="E1250" s="284" t="s">
        <v>2469</v>
      </c>
      <c r="F1250" s="283" t="s">
        <v>2470</v>
      </c>
      <c r="G1250" s="283">
        <f t="shared" si="251"/>
        <v>430.78890200000001</v>
      </c>
      <c r="H1250" s="283"/>
      <c r="I1250" s="283"/>
      <c r="J1250" s="283"/>
      <c r="K1250" s="285">
        <v>430.78890200000001</v>
      </c>
      <c r="L1250" s="285">
        <v>0</v>
      </c>
      <c r="M1250" s="285">
        <f t="shared" si="249"/>
        <v>375</v>
      </c>
      <c r="N1250" s="211"/>
      <c r="O1250" s="211"/>
      <c r="P1250" s="211"/>
      <c r="Q1250" s="211"/>
      <c r="R1250" s="211"/>
      <c r="S1250" s="285">
        <v>375</v>
      </c>
      <c r="T1250" s="23"/>
      <c r="V1250" s="6">
        <f t="shared" si="252"/>
        <v>0</v>
      </c>
    </row>
    <row r="1251" spans="1:22" ht="30">
      <c r="A1251" s="294">
        <v>41</v>
      </c>
      <c r="B1251" s="286" t="s">
        <v>2471</v>
      </c>
      <c r="C1251" s="287" t="s">
        <v>2336</v>
      </c>
      <c r="D1251" s="283" t="s">
        <v>31</v>
      </c>
      <c r="E1251" s="284" t="s">
        <v>2472</v>
      </c>
      <c r="F1251" s="283" t="s">
        <v>2473</v>
      </c>
      <c r="G1251" s="283">
        <f t="shared" si="251"/>
        <v>911.67709400000001</v>
      </c>
      <c r="H1251" s="283"/>
      <c r="I1251" s="283"/>
      <c r="J1251" s="283"/>
      <c r="K1251" s="285">
        <v>911.67709400000001</v>
      </c>
      <c r="L1251" s="285">
        <v>0</v>
      </c>
      <c r="M1251" s="285">
        <f t="shared" si="249"/>
        <v>834.26300000000003</v>
      </c>
      <c r="N1251" s="211"/>
      <c r="O1251" s="211"/>
      <c r="P1251" s="211"/>
      <c r="Q1251" s="211"/>
      <c r="R1251" s="211"/>
      <c r="S1251" s="285">
        <v>834.26300000000003</v>
      </c>
      <c r="T1251" s="23"/>
      <c r="V1251" s="6">
        <f t="shared" si="252"/>
        <v>0</v>
      </c>
    </row>
    <row r="1252" spans="1:22" ht="30">
      <c r="A1252" s="294">
        <v>42</v>
      </c>
      <c r="B1252" s="286" t="s">
        <v>2474</v>
      </c>
      <c r="C1252" s="287" t="s">
        <v>2368</v>
      </c>
      <c r="D1252" s="283" t="s">
        <v>31</v>
      </c>
      <c r="E1252" s="284" t="s">
        <v>2475</v>
      </c>
      <c r="F1252" s="283" t="s">
        <v>2476</v>
      </c>
      <c r="G1252" s="283">
        <f t="shared" si="251"/>
        <v>1089.57</v>
      </c>
      <c r="H1252" s="283"/>
      <c r="I1252" s="283"/>
      <c r="J1252" s="283"/>
      <c r="K1252" s="285">
        <v>1089.57</v>
      </c>
      <c r="L1252" s="285">
        <v>0</v>
      </c>
      <c r="M1252" s="285">
        <f t="shared" si="249"/>
        <v>1016.248</v>
      </c>
      <c r="N1252" s="211"/>
      <c r="O1252" s="211"/>
      <c r="P1252" s="211"/>
      <c r="Q1252" s="211"/>
      <c r="R1252" s="211"/>
      <c r="S1252" s="285">
        <v>1016.248</v>
      </c>
      <c r="T1252" s="23"/>
      <c r="V1252" s="6">
        <f t="shared" si="252"/>
        <v>0</v>
      </c>
    </row>
    <row r="1253" spans="1:22" ht="30">
      <c r="A1253" s="294">
        <v>43</v>
      </c>
      <c r="B1253" s="286" t="s">
        <v>2477</v>
      </c>
      <c r="C1253" s="287" t="s">
        <v>2330</v>
      </c>
      <c r="D1253" s="283" t="s">
        <v>31</v>
      </c>
      <c r="E1253" s="284" t="s">
        <v>2478</v>
      </c>
      <c r="F1253" s="283" t="s">
        <v>2479</v>
      </c>
      <c r="G1253" s="283">
        <f t="shared" si="251"/>
        <v>1132.8640719999999</v>
      </c>
      <c r="H1253" s="283"/>
      <c r="I1253" s="283"/>
      <c r="J1253" s="283"/>
      <c r="K1253" s="285">
        <v>1132.8640719999999</v>
      </c>
      <c r="L1253" s="285">
        <v>0</v>
      </c>
      <c r="M1253" s="285">
        <f t="shared" si="249"/>
        <v>1224.1199999999999</v>
      </c>
      <c r="N1253" s="211"/>
      <c r="O1253" s="211"/>
      <c r="P1253" s="211"/>
      <c r="Q1253" s="211"/>
      <c r="R1253" s="211"/>
      <c r="S1253" s="285">
        <v>1224.1199999999999</v>
      </c>
      <c r="T1253" s="23"/>
      <c r="V1253" s="6">
        <f t="shared" si="252"/>
        <v>0</v>
      </c>
    </row>
    <row r="1254" spans="1:22" ht="30">
      <c r="A1254" s="294">
        <v>44</v>
      </c>
      <c r="B1254" s="286" t="s">
        <v>2480</v>
      </c>
      <c r="C1254" s="287" t="s">
        <v>2340</v>
      </c>
      <c r="D1254" s="283" t="s">
        <v>31</v>
      </c>
      <c r="E1254" s="284" t="s">
        <v>2481</v>
      </c>
      <c r="F1254" s="283" t="s">
        <v>2482</v>
      </c>
      <c r="G1254" s="283">
        <f t="shared" si="251"/>
        <v>956.67399999999998</v>
      </c>
      <c r="H1254" s="283"/>
      <c r="I1254" s="283"/>
      <c r="J1254" s="283"/>
      <c r="K1254" s="285">
        <v>956.67399999999998</v>
      </c>
      <c r="L1254" s="285">
        <v>0</v>
      </c>
      <c r="M1254" s="285">
        <f t="shared" si="249"/>
        <v>900</v>
      </c>
      <c r="N1254" s="211"/>
      <c r="O1254" s="211"/>
      <c r="P1254" s="211"/>
      <c r="Q1254" s="211"/>
      <c r="R1254" s="211"/>
      <c r="S1254" s="285">
        <v>900</v>
      </c>
      <c r="T1254" s="23"/>
      <c r="V1254" s="6">
        <f t="shared" si="252"/>
        <v>0</v>
      </c>
    </row>
    <row r="1255" spans="1:22" ht="30">
      <c r="A1255" s="294">
        <v>45</v>
      </c>
      <c r="B1255" s="286" t="s">
        <v>2483</v>
      </c>
      <c r="C1255" s="287" t="s">
        <v>2447</v>
      </c>
      <c r="D1255" s="283" t="s">
        <v>31</v>
      </c>
      <c r="E1255" s="284" t="s">
        <v>2484</v>
      </c>
      <c r="F1255" s="283" t="s">
        <v>2485</v>
      </c>
      <c r="G1255" s="283">
        <f t="shared" si="251"/>
        <v>974.10799999999995</v>
      </c>
      <c r="H1255" s="283"/>
      <c r="I1255" s="283"/>
      <c r="J1255" s="283"/>
      <c r="K1255" s="285">
        <v>974.10799999999995</v>
      </c>
      <c r="L1255" s="285">
        <v>0</v>
      </c>
      <c r="M1255" s="285">
        <f t="shared" si="249"/>
        <v>900</v>
      </c>
      <c r="N1255" s="211"/>
      <c r="O1255" s="211"/>
      <c r="P1255" s="211"/>
      <c r="Q1255" s="211"/>
      <c r="R1255" s="211"/>
      <c r="S1255" s="285">
        <v>900</v>
      </c>
      <c r="T1255" s="23"/>
      <c r="V1255" s="6">
        <f t="shared" si="252"/>
        <v>0</v>
      </c>
    </row>
    <row r="1256" spans="1:22" ht="30">
      <c r="A1256" s="294">
        <v>46</v>
      </c>
      <c r="B1256" s="286" t="s">
        <v>2486</v>
      </c>
      <c r="C1256" s="287" t="s">
        <v>2330</v>
      </c>
      <c r="D1256" s="283" t="s">
        <v>31</v>
      </c>
      <c r="E1256" s="284" t="s">
        <v>2487</v>
      </c>
      <c r="F1256" s="283" t="s">
        <v>2488</v>
      </c>
      <c r="G1256" s="283">
        <f t="shared" si="251"/>
        <v>990.49442699999997</v>
      </c>
      <c r="H1256" s="283"/>
      <c r="I1256" s="283"/>
      <c r="J1256" s="283"/>
      <c r="K1256" s="285">
        <v>990.49442699999997</v>
      </c>
      <c r="L1256" s="285">
        <v>0</v>
      </c>
      <c r="M1256" s="285">
        <f t="shared" si="249"/>
        <v>927.971</v>
      </c>
      <c r="N1256" s="211"/>
      <c r="O1256" s="211"/>
      <c r="P1256" s="211"/>
      <c r="Q1256" s="211"/>
      <c r="R1256" s="211"/>
      <c r="S1256" s="285">
        <v>927.971</v>
      </c>
      <c r="T1256" s="23"/>
      <c r="V1256" s="6">
        <f t="shared" si="252"/>
        <v>0</v>
      </c>
    </row>
    <row r="1257" spans="1:22" ht="45">
      <c r="A1257" s="294">
        <v>47</v>
      </c>
      <c r="B1257" s="286" t="s">
        <v>2489</v>
      </c>
      <c r="C1257" s="287" t="s">
        <v>2330</v>
      </c>
      <c r="D1257" s="283" t="s">
        <v>31</v>
      </c>
      <c r="E1257" s="284" t="s">
        <v>2490</v>
      </c>
      <c r="F1257" s="283" t="s">
        <v>2491</v>
      </c>
      <c r="G1257" s="283">
        <f t="shared" si="251"/>
        <v>1163.3804499999999</v>
      </c>
      <c r="H1257" s="283"/>
      <c r="I1257" s="283"/>
      <c r="J1257" s="283"/>
      <c r="K1257" s="285">
        <v>1163.3804499999999</v>
      </c>
      <c r="L1257" s="285">
        <v>0</v>
      </c>
      <c r="M1257" s="285">
        <f t="shared" si="249"/>
        <v>1080</v>
      </c>
      <c r="N1257" s="211"/>
      <c r="O1257" s="211"/>
      <c r="P1257" s="211"/>
      <c r="Q1257" s="211"/>
      <c r="R1257" s="211"/>
      <c r="S1257" s="285">
        <v>1080</v>
      </c>
      <c r="T1257" s="23"/>
      <c r="V1257" s="6">
        <f t="shared" si="252"/>
        <v>0</v>
      </c>
    </row>
    <row r="1258" spans="1:22" ht="30">
      <c r="A1258" s="294">
        <v>48</v>
      </c>
      <c r="B1258" s="286" t="s">
        <v>2492</v>
      </c>
      <c r="C1258" s="287" t="s">
        <v>2451</v>
      </c>
      <c r="D1258" s="283" t="s">
        <v>31</v>
      </c>
      <c r="E1258" s="284" t="s">
        <v>2493</v>
      </c>
      <c r="F1258" s="283" t="s">
        <v>2494</v>
      </c>
      <c r="G1258" s="283">
        <f t="shared" si="251"/>
        <v>4334.4041370000004</v>
      </c>
      <c r="H1258" s="283"/>
      <c r="I1258" s="283"/>
      <c r="J1258" s="283"/>
      <c r="K1258" s="285">
        <v>4334.4041370000004</v>
      </c>
      <c r="L1258" s="285">
        <v>0</v>
      </c>
      <c r="M1258" s="285">
        <f t="shared" si="249"/>
        <v>3905</v>
      </c>
      <c r="N1258" s="211"/>
      <c r="O1258" s="211"/>
      <c r="P1258" s="211"/>
      <c r="Q1258" s="211"/>
      <c r="R1258" s="211"/>
      <c r="S1258" s="285">
        <v>3905</v>
      </c>
      <c r="T1258" s="23"/>
      <c r="V1258" s="6">
        <f t="shared" si="252"/>
        <v>0</v>
      </c>
    </row>
    <row r="1259" spans="1:22" ht="45">
      <c r="A1259" s="294">
        <v>49</v>
      </c>
      <c r="B1259" s="281" t="s">
        <v>2495</v>
      </c>
      <c r="C1259" s="282" t="s">
        <v>2496</v>
      </c>
      <c r="D1259" s="283" t="s">
        <v>31</v>
      </c>
      <c r="E1259" s="284" t="s">
        <v>2497</v>
      </c>
      <c r="F1259" s="283" t="s">
        <v>2498</v>
      </c>
      <c r="G1259" s="283">
        <f t="shared" si="251"/>
        <v>927.15200000000004</v>
      </c>
      <c r="H1259" s="283"/>
      <c r="I1259" s="283"/>
      <c r="J1259" s="283"/>
      <c r="K1259" s="285">
        <v>927.15200000000004</v>
      </c>
      <c r="L1259" s="285">
        <v>0</v>
      </c>
      <c r="M1259" s="285">
        <f t="shared" si="249"/>
        <v>880</v>
      </c>
      <c r="N1259" s="211"/>
      <c r="O1259" s="211"/>
      <c r="P1259" s="211"/>
      <c r="Q1259" s="211"/>
      <c r="R1259" s="211"/>
      <c r="S1259" s="285">
        <v>880</v>
      </c>
      <c r="T1259" s="23"/>
      <c r="V1259" s="6">
        <f t="shared" si="252"/>
        <v>0</v>
      </c>
    </row>
    <row r="1260" spans="1:22" ht="30">
      <c r="A1260" s="294">
        <v>50</v>
      </c>
      <c r="B1260" s="281" t="s">
        <v>2499</v>
      </c>
      <c r="C1260" s="282" t="s">
        <v>2500</v>
      </c>
      <c r="D1260" s="283" t="s">
        <v>31</v>
      </c>
      <c r="E1260" s="284" t="s">
        <v>2501</v>
      </c>
      <c r="F1260" s="283" t="s">
        <v>2502</v>
      </c>
      <c r="G1260" s="283">
        <f t="shared" si="251"/>
        <v>1155.874</v>
      </c>
      <c r="H1260" s="283"/>
      <c r="I1260" s="283"/>
      <c r="J1260" s="283"/>
      <c r="K1260" s="285">
        <v>1155.874</v>
      </c>
      <c r="L1260" s="285">
        <v>0</v>
      </c>
      <c r="M1260" s="285">
        <f t="shared" si="249"/>
        <v>960</v>
      </c>
      <c r="N1260" s="211"/>
      <c r="O1260" s="211"/>
      <c r="P1260" s="211"/>
      <c r="Q1260" s="211"/>
      <c r="R1260" s="211"/>
      <c r="S1260" s="285">
        <v>960</v>
      </c>
      <c r="T1260" s="23"/>
      <c r="V1260" s="6">
        <f t="shared" si="252"/>
        <v>0</v>
      </c>
    </row>
    <row r="1261" spans="1:22" ht="30">
      <c r="A1261" s="294">
        <v>51</v>
      </c>
      <c r="B1261" s="281" t="s">
        <v>2503</v>
      </c>
      <c r="C1261" s="282" t="s">
        <v>2330</v>
      </c>
      <c r="D1261" s="283" t="s">
        <v>31</v>
      </c>
      <c r="E1261" s="284" t="s">
        <v>2504</v>
      </c>
      <c r="F1261" s="283" t="s">
        <v>2505</v>
      </c>
      <c r="G1261" s="283">
        <f t="shared" si="251"/>
        <v>1172.2629920000002</v>
      </c>
      <c r="H1261" s="283"/>
      <c r="I1261" s="283"/>
      <c r="J1261" s="283"/>
      <c r="K1261" s="285">
        <v>1172.2629920000002</v>
      </c>
      <c r="L1261" s="285">
        <v>0</v>
      </c>
      <c r="M1261" s="285">
        <f t="shared" si="249"/>
        <v>960</v>
      </c>
      <c r="N1261" s="211"/>
      <c r="O1261" s="211"/>
      <c r="P1261" s="211"/>
      <c r="Q1261" s="211"/>
      <c r="R1261" s="211"/>
      <c r="S1261" s="285">
        <v>960</v>
      </c>
      <c r="T1261" s="23"/>
      <c r="V1261" s="6">
        <f t="shared" si="252"/>
        <v>0</v>
      </c>
    </row>
    <row r="1262" spans="1:22" ht="30">
      <c r="A1262" s="294">
        <v>52</v>
      </c>
      <c r="B1262" s="281" t="s">
        <v>2506</v>
      </c>
      <c r="C1262" s="282" t="s">
        <v>2464</v>
      </c>
      <c r="D1262" s="283" t="s">
        <v>31</v>
      </c>
      <c r="E1262" s="284" t="s">
        <v>2507</v>
      </c>
      <c r="F1262" s="283" t="s">
        <v>2508</v>
      </c>
      <c r="G1262" s="283">
        <f t="shared" si="251"/>
        <v>773.71799999999996</v>
      </c>
      <c r="H1262" s="283"/>
      <c r="I1262" s="283"/>
      <c r="J1262" s="283"/>
      <c r="K1262" s="285">
        <v>773.71799999999996</v>
      </c>
      <c r="L1262" s="285">
        <v>0</v>
      </c>
      <c r="M1262" s="285">
        <f t="shared" ref="M1262:M1302" si="253">SUM(N1262:S1262)</f>
        <v>700</v>
      </c>
      <c r="N1262" s="211"/>
      <c r="O1262" s="211"/>
      <c r="P1262" s="211"/>
      <c r="Q1262" s="211"/>
      <c r="R1262" s="211"/>
      <c r="S1262" s="285">
        <v>700</v>
      </c>
      <c r="T1262" s="23"/>
      <c r="V1262" s="6">
        <f t="shared" si="252"/>
        <v>0</v>
      </c>
    </row>
    <row r="1263" spans="1:22" ht="30">
      <c r="A1263" s="294">
        <v>53</v>
      </c>
      <c r="B1263" s="281" t="s">
        <v>2509</v>
      </c>
      <c r="C1263" s="282" t="s">
        <v>2510</v>
      </c>
      <c r="D1263" s="283" t="s">
        <v>31</v>
      </c>
      <c r="E1263" s="284" t="s">
        <v>2511</v>
      </c>
      <c r="F1263" s="283" t="s">
        <v>2512</v>
      </c>
      <c r="G1263" s="283">
        <f t="shared" si="251"/>
        <v>1072.543064</v>
      </c>
      <c r="H1263" s="283"/>
      <c r="I1263" s="283"/>
      <c r="J1263" s="283"/>
      <c r="K1263" s="285">
        <v>1072.543064</v>
      </c>
      <c r="L1263" s="285">
        <v>0</v>
      </c>
      <c r="M1263" s="285">
        <f t="shared" si="253"/>
        <v>960</v>
      </c>
      <c r="N1263" s="211"/>
      <c r="O1263" s="211"/>
      <c r="P1263" s="211"/>
      <c r="Q1263" s="211"/>
      <c r="R1263" s="211"/>
      <c r="S1263" s="285">
        <v>960</v>
      </c>
      <c r="T1263" s="23"/>
      <c r="V1263" s="6">
        <f t="shared" si="252"/>
        <v>0</v>
      </c>
    </row>
    <row r="1264" spans="1:22" ht="30">
      <c r="A1264" s="294">
        <v>54</v>
      </c>
      <c r="B1264" s="286" t="s">
        <v>2513</v>
      </c>
      <c r="C1264" s="287" t="s">
        <v>2352</v>
      </c>
      <c r="D1264" s="283" t="s">
        <v>31</v>
      </c>
      <c r="E1264" s="284" t="s">
        <v>2514</v>
      </c>
      <c r="F1264" s="283" t="s">
        <v>2515</v>
      </c>
      <c r="G1264" s="283">
        <v>1175.974119</v>
      </c>
      <c r="H1264" s="283"/>
      <c r="I1264" s="283"/>
      <c r="J1264" s="283"/>
      <c r="K1264" s="283">
        <v>1175.974119</v>
      </c>
      <c r="L1264" s="285">
        <v>0</v>
      </c>
      <c r="M1264" s="285">
        <f t="shared" si="253"/>
        <v>1032.99</v>
      </c>
      <c r="N1264" s="211"/>
      <c r="O1264" s="211"/>
      <c r="P1264" s="211"/>
      <c r="Q1264" s="211"/>
      <c r="R1264" s="211"/>
      <c r="S1264" s="285">
        <v>1032.99</v>
      </c>
      <c r="T1264" s="23"/>
      <c r="V1264" s="6">
        <f t="shared" si="252"/>
        <v>0</v>
      </c>
    </row>
    <row r="1265" spans="1:22" ht="30">
      <c r="A1265" s="294">
        <v>55</v>
      </c>
      <c r="B1265" s="286" t="s">
        <v>2516</v>
      </c>
      <c r="C1265" s="287" t="s">
        <v>2364</v>
      </c>
      <c r="D1265" s="283" t="s">
        <v>31</v>
      </c>
      <c r="E1265" s="284" t="s">
        <v>2514</v>
      </c>
      <c r="F1265" s="283" t="s">
        <v>2517</v>
      </c>
      <c r="G1265" s="283">
        <v>699.70636200000001</v>
      </c>
      <c r="H1265" s="283"/>
      <c r="I1265" s="283"/>
      <c r="J1265" s="283"/>
      <c r="K1265" s="283">
        <v>699.70636200000001</v>
      </c>
      <c r="L1265" s="285">
        <v>0</v>
      </c>
      <c r="M1265" s="285">
        <f t="shared" si="253"/>
        <v>659.95</v>
      </c>
      <c r="N1265" s="211"/>
      <c r="O1265" s="211"/>
      <c r="P1265" s="211"/>
      <c r="Q1265" s="211"/>
      <c r="R1265" s="211"/>
      <c r="S1265" s="285">
        <v>659.95</v>
      </c>
      <c r="T1265" s="23"/>
      <c r="V1265" s="6">
        <f t="shared" si="252"/>
        <v>0</v>
      </c>
    </row>
    <row r="1266" spans="1:22" ht="30">
      <c r="A1266" s="294">
        <v>56</v>
      </c>
      <c r="B1266" s="286" t="s">
        <v>2518</v>
      </c>
      <c r="C1266" s="287" t="s">
        <v>2519</v>
      </c>
      <c r="D1266" s="283" t="s">
        <v>31</v>
      </c>
      <c r="E1266" s="284" t="s">
        <v>2514</v>
      </c>
      <c r="F1266" s="283" t="s">
        <v>2520</v>
      </c>
      <c r="G1266" s="283">
        <v>604.98049600000002</v>
      </c>
      <c r="H1266" s="283"/>
      <c r="I1266" s="283"/>
      <c r="J1266" s="283"/>
      <c r="K1266" s="283">
        <v>604.98049600000002</v>
      </c>
      <c r="L1266" s="285">
        <v>0</v>
      </c>
      <c r="M1266" s="285">
        <f t="shared" si="253"/>
        <v>570.65</v>
      </c>
      <c r="N1266" s="211"/>
      <c r="O1266" s="211"/>
      <c r="P1266" s="211"/>
      <c r="Q1266" s="211"/>
      <c r="R1266" s="211"/>
      <c r="S1266" s="285">
        <v>570.65</v>
      </c>
      <c r="T1266" s="23"/>
      <c r="V1266" s="6">
        <f t="shared" si="252"/>
        <v>0</v>
      </c>
    </row>
    <row r="1267" spans="1:22" ht="30">
      <c r="A1267" s="294">
        <v>57</v>
      </c>
      <c r="B1267" s="286" t="s">
        <v>2521</v>
      </c>
      <c r="C1267" s="287" t="s">
        <v>2447</v>
      </c>
      <c r="D1267" s="283" t="s">
        <v>31</v>
      </c>
      <c r="E1267" s="284" t="s">
        <v>2514</v>
      </c>
      <c r="F1267" s="283" t="s">
        <v>2522</v>
      </c>
      <c r="G1267" s="283">
        <v>998.68932400000006</v>
      </c>
      <c r="H1267" s="283"/>
      <c r="I1267" s="283"/>
      <c r="J1267" s="283"/>
      <c r="K1267" s="283">
        <v>998.68932400000006</v>
      </c>
      <c r="L1267" s="285">
        <v>0</v>
      </c>
      <c r="M1267" s="285">
        <f t="shared" si="253"/>
        <v>979.75</v>
      </c>
      <c r="N1267" s="211"/>
      <c r="O1267" s="211"/>
      <c r="P1267" s="211"/>
      <c r="Q1267" s="211"/>
      <c r="R1267" s="211"/>
      <c r="S1267" s="285">
        <v>979.75</v>
      </c>
      <c r="T1267" s="23"/>
      <c r="V1267" s="6">
        <f t="shared" si="252"/>
        <v>0</v>
      </c>
    </row>
    <row r="1268" spans="1:22" ht="30">
      <c r="A1268" s="294">
        <v>58</v>
      </c>
      <c r="B1268" s="286" t="s">
        <v>2523</v>
      </c>
      <c r="C1268" s="287" t="s">
        <v>2316</v>
      </c>
      <c r="D1268" s="283" t="s">
        <v>31</v>
      </c>
      <c r="E1268" s="284" t="s">
        <v>55</v>
      </c>
      <c r="F1268" s="283" t="s">
        <v>2524</v>
      </c>
      <c r="G1268" s="283">
        <f>K1268</f>
        <v>2361.840588</v>
      </c>
      <c r="H1268" s="283"/>
      <c r="I1268" s="283"/>
      <c r="J1268" s="283"/>
      <c r="K1268" s="285">
        <v>2361.840588</v>
      </c>
      <c r="L1268" s="285">
        <v>0</v>
      </c>
      <c r="M1268" s="285">
        <f t="shared" si="253"/>
        <v>2200</v>
      </c>
      <c r="N1268" s="211"/>
      <c r="O1268" s="211"/>
      <c r="P1268" s="211"/>
      <c r="Q1268" s="211"/>
      <c r="R1268" s="211"/>
      <c r="S1268" s="285">
        <v>2200</v>
      </c>
      <c r="T1268" s="23"/>
      <c r="V1268" s="6">
        <f t="shared" si="252"/>
        <v>0</v>
      </c>
    </row>
    <row r="1269" spans="1:22">
      <c r="A1269" s="288" t="s">
        <v>82</v>
      </c>
      <c r="B1269" s="289" t="s">
        <v>83</v>
      </c>
      <c r="C1269" s="290"/>
      <c r="D1269" s="291"/>
      <c r="E1269" s="292"/>
      <c r="F1269" s="291"/>
      <c r="G1269" s="291">
        <f>SUM(G1270:G1283)</f>
        <v>244314.05243099999</v>
      </c>
      <c r="H1269" s="291"/>
      <c r="I1269" s="291"/>
      <c r="J1269" s="291"/>
      <c r="K1269" s="291">
        <f>SUM(K1270:K1283)</f>
        <v>244314.05243099999</v>
      </c>
      <c r="L1269" s="291">
        <f>SUM(L1270:L1283)</f>
        <v>0</v>
      </c>
      <c r="M1269" s="293">
        <f t="shared" si="253"/>
        <v>228884.55700000003</v>
      </c>
      <c r="N1269" s="211"/>
      <c r="O1269" s="211"/>
      <c r="P1269" s="211"/>
      <c r="Q1269" s="211"/>
      <c r="R1269" s="211"/>
      <c r="S1269" s="293">
        <f>SUM(S1270:S1283)</f>
        <v>228884.55700000003</v>
      </c>
      <c r="T1269" s="23"/>
      <c r="V1269" s="6">
        <f t="shared" si="252"/>
        <v>0</v>
      </c>
    </row>
    <row r="1270" spans="1:22" ht="30">
      <c r="A1270" s="294">
        <v>1</v>
      </c>
      <c r="B1270" s="286" t="s">
        <v>2525</v>
      </c>
      <c r="C1270" s="287" t="s">
        <v>2464</v>
      </c>
      <c r="D1270" s="283" t="s">
        <v>31</v>
      </c>
      <c r="E1270" s="284" t="s">
        <v>160</v>
      </c>
      <c r="F1270" s="283" t="s">
        <v>2526</v>
      </c>
      <c r="G1270" s="283">
        <f t="shared" ref="G1270:G1283" si="254">K1270</f>
        <v>14912.526764</v>
      </c>
      <c r="H1270" s="283"/>
      <c r="I1270" s="283"/>
      <c r="J1270" s="283"/>
      <c r="K1270" s="285">
        <v>14912.526764</v>
      </c>
      <c r="L1270" s="285">
        <v>0</v>
      </c>
      <c r="M1270" s="285">
        <f t="shared" si="253"/>
        <v>10486</v>
      </c>
      <c r="N1270" s="211"/>
      <c r="O1270" s="211"/>
      <c r="P1270" s="211"/>
      <c r="Q1270" s="211"/>
      <c r="R1270" s="211"/>
      <c r="S1270" s="285">
        <v>10486</v>
      </c>
      <c r="T1270" s="23"/>
      <c r="V1270" s="6">
        <f t="shared" si="252"/>
        <v>0</v>
      </c>
    </row>
    <row r="1271" spans="1:22" ht="60">
      <c r="A1271" s="280">
        <v>2</v>
      </c>
      <c r="B1271" s="286" t="s">
        <v>2527</v>
      </c>
      <c r="C1271" s="287" t="s">
        <v>2464</v>
      </c>
      <c r="D1271" s="283" t="s">
        <v>31</v>
      </c>
      <c r="E1271" s="284" t="s">
        <v>2528</v>
      </c>
      <c r="F1271" s="283" t="s">
        <v>2529</v>
      </c>
      <c r="G1271" s="283">
        <f t="shared" si="254"/>
        <v>14940.402483999998</v>
      </c>
      <c r="H1271" s="283"/>
      <c r="I1271" s="283"/>
      <c r="J1271" s="283"/>
      <c r="K1271" s="285">
        <v>14940.402483999998</v>
      </c>
      <c r="L1271" s="285">
        <v>0</v>
      </c>
      <c r="M1271" s="285">
        <f t="shared" si="253"/>
        <v>13000</v>
      </c>
      <c r="N1271" s="211"/>
      <c r="O1271" s="211"/>
      <c r="P1271" s="211"/>
      <c r="Q1271" s="211"/>
      <c r="R1271" s="211"/>
      <c r="S1271" s="285">
        <v>13000</v>
      </c>
      <c r="T1271" s="23"/>
      <c r="V1271" s="6">
        <f t="shared" si="252"/>
        <v>0</v>
      </c>
    </row>
    <row r="1272" spans="1:22" ht="30">
      <c r="A1272" s="294">
        <v>3</v>
      </c>
      <c r="B1272" s="286" t="s">
        <v>2530</v>
      </c>
      <c r="C1272" s="287" t="s">
        <v>2407</v>
      </c>
      <c r="D1272" s="283" t="s">
        <v>31</v>
      </c>
      <c r="E1272" s="284" t="s">
        <v>2531</v>
      </c>
      <c r="F1272" s="283" t="s">
        <v>2532</v>
      </c>
      <c r="G1272" s="283">
        <f t="shared" si="254"/>
        <v>14489.763999999999</v>
      </c>
      <c r="H1272" s="283"/>
      <c r="I1272" s="283"/>
      <c r="J1272" s="283"/>
      <c r="K1272" s="285">
        <v>14489.763999999999</v>
      </c>
      <c r="L1272" s="285">
        <v>0</v>
      </c>
      <c r="M1272" s="285">
        <f t="shared" si="253"/>
        <v>12980</v>
      </c>
      <c r="N1272" s="211"/>
      <c r="O1272" s="211"/>
      <c r="P1272" s="211"/>
      <c r="Q1272" s="211"/>
      <c r="R1272" s="211"/>
      <c r="S1272" s="285">
        <v>12980</v>
      </c>
      <c r="T1272" s="23"/>
      <c r="V1272" s="6">
        <f t="shared" si="252"/>
        <v>0</v>
      </c>
    </row>
    <row r="1273" spans="1:22" ht="30">
      <c r="A1273" s="280">
        <v>4</v>
      </c>
      <c r="B1273" s="286" t="s">
        <v>2533</v>
      </c>
      <c r="C1273" s="287" t="s">
        <v>2344</v>
      </c>
      <c r="D1273" s="283" t="s">
        <v>31</v>
      </c>
      <c r="E1273" s="284" t="s">
        <v>2534</v>
      </c>
      <c r="F1273" s="283" t="s">
        <v>2535</v>
      </c>
      <c r="G1273" s="283">
        <f t="shared" si="254"/>
        <v>9802.527</v>
      </c>
      <c r="H1273" s="283"/>
      <c r="I1273" s="283"/>
      <c r="J1273" s="283"/>
      <c r="K1273" s="285">
        <v>9802.527</v>
      </c>
      <c r="L1273" s="285">
        <v>0</v>
      </c>
      <c r="M1273" s="285">
        <f t="shared" si="253"/>
        <v>11980</v>
      </c>
      <c r="N1273" s="211"/>
      <c r="O1273" s="211"/>
      <c r="P1273" s="211"/>
      <c r="Q1273" s="211"/>
      <c r="R1273" s="211"/>
      <c r="S1273" s="285">
        <v>11980</v>
      </c>
      <c r="T1273" s="23"/>
      <c r="V1273" s="6">
        <f t="shared" si="252"/>
        <v>0</v>
      </c>
    </row>
    <row r="1274" spans="1:22" ht="30">
      <c r="A1274" s="294">
        <v>5</v>
      </c>
      <c r="B1274" s="286" t="s">
        <v>2536</v>
      </c>
      <c r="C1274" s="287" t="s">
        <v>2344</v>
      </c>
      <c r="D1274" s="283" t="s">
        <v>31</v>
      </c>
      <c r="E1274" s="284" t="s">
        <v>2537</v>
      </c>
      <c r="F1274" s="283" t="s">
        <v>2538</v>
      </c>
      <c r="G1274" s="283">
        <f t="shared" si="254"/>
        <v>14028.790519</v>
      </c>
      <c r="H1274" s="283"/>
      <c r="I1274" s="283"/>
      <c r="J1274" s="283"/>
      <c r="K1274" s="285">
        <v>14028.790519</v>
      </c>
      <c r="L1274" s="285">
        <v>0</v>
      </c>
      <c r="M1274" s="285">
        <f t="shared" si="253"/>
        <v>12630</v>
      </c>
      <c r="N1274" s="211"/>
      <c r="O1274" s="211"/>
      <c r="P1274" s="211"/>
      <c r="Q1274" s="211"/>
      <c r="R1274" s="211"/>
      <c r="S1274" s="285">
        <v>12630</v>
      </c>
      <c r="T1274" s="23"/>
      <c r="V1274" s="6">
        <f t="shared" si="252"/>
        <v>0</v>
      </c>
    </row>
    <row r="1275" spans="1:22" ht="45">
      <c r="A1275" s="280">
        <v>6</v>
      </c>
      <c r="B1275" s="286" t="s">
        <v>2539</v>
      </c>
      <c r="C1275" s="287" t="s">
        <v>2447</v>
      </c>
      <c r="D1275" s="283" t="s">
        <v>31</v>
      </c>
      <c r="E1275" s="284" t="s">
        <v>2540</v>
      </c>
      <c r="F1275" s="283" t="s">
        <v>2541</v>
      </c>
      <c r="G1275" s="283">
        <f t="shared" si="254"/>
        <v>20003.615646999999</v>
      </c>
      <c r="H1275" s="283"/>
      <c r="I1275" s="283"/>
      <c r="J1275" s="283"/>
      <c r="K1275" s="285">
        <v>20003.615646999999</v>
      </c>
      <c r="L1275" s="285">
        <v>0</v>
      </c>
      <c r="M1275" s="285">
        <f t="shared" si="253"/>
        <v>18480</v>
      </c>
      <c r="N1275" s="211"/>
      <c r="O1275" s="211"/>
      <c r="P1275" s="211"/>
      <c r="Q1275" s="211"/>
      <c r="R1275" s="211"/>
      <c r="S1275" s="285">
        <v>18480</v>
      </c>
      <c r="T1275" s="23"/>
      <c r="V1275" s="6">
        <f t="shared" si="252"/>
        <v>0</v>
      </c>
    </row>
    <row r="1276" spans="1:22" ht="60">
      <c r="A1276" s="294">
        <v>7</v>
      </c>
      <c r="B1276" s="286" t="s">
        <v>2542</v>
      </c>
      <c r="C1276" s="287" t="s">
        <v>2330</v>
      </c>
      <c r="D1276" s="283" t="s">
        <v>31</v>
      </c>
      <c r="E1276" s="284" t="s">
        <v>2543</v>
      </c>
      <c r="F1276" s="283" t="s">
        <v>2544</v>
      </c>
      <c r="G1276" s="283">
        <f t="shared" si="254"/>
        <v>4655.4974749999992</v>
      </c>
      <c r="H1276" s="283"/>
      <c r="I1276" s="283"/>
      <c r="J1276" s="283"/>
      <c r="K1276" s="285">
        <v>4655.4974749999992</v>
      </c>
      <c r="L1276" s="285">
        <v>0</v>
      </c>
      <c r="M1276" s="285">
        <f t="shared" si="253"/>
        <v>4000</v>
      </c>
      <c r="N1276" s="211"/>
      <c r="O1276" s="211"/>
      <c r="P1276" s="211"/>
      <c r="Q1276" s="211"/>
      <c r="R1276" s="211"/>
      <c r="S1276" s="285">
        <v>4000</v>
      </c>
      <c r="T1276" s="23"/>
      <c r="V1276" s="6">
        <f t="shared" si="252"/>
        <v>0</v>
      </c>
    </row>
    <row r="1277" spans="1:22" ht="60">
      <c r="A1277" s="280">
        <v>8</v>
      </c>
      <c r="B1277" s="286" t="s">
        <v>2545</v>
      </c>
      <c r="C1277" s="287" t="s">
        <v>2546</v>
      </c>
      <c r="D1277" s="283" t="s">
        <v>31</v>
      </c>
      <c r="E1277" s="284" t="s">
        <v>2547</v>
      </c>
      <c r="F1277" s="283" t="s">
        <v>2548</v>
      </c>
      <c r="G1277" s="283">
        <f t="shared" si="254"/>
        <v>13630.179516</v>
      </c>
      <c r="H1277" s="283"/>
      <c r="I1277" s="283"/>
      <c r="J1277" s="283"/>
      <c r="K1277" s="285">
        <v>13630.179516</v>
      </c>
      <c r="L1277" s="285">
        <v>0</v>
      </c>
      <c r="M1277" s="285">
        <f t="shared" si="253"/>
        <v>11420</v>
      </c>
      <c r="N1277" s="211"/>
      <c r="O1277" s="211"/>
      <c r="P1277" s="211"/>
      <c r="Q1277" s="211"/>
      <c r="R1277" s="211"/>
      <c r="S1277" s="285">
        <v>11420</v>
      </c>
      <c r="T1277" s="23"/>
      <c r="V1277" s="6">
        <f t="shared" si="252"/>
        <v>0</v>
      </c>
    </row>
    <row r="1278" spans="1:22" ht="30">
      <c r="A1278" s="294">
        <v>9</v>
      </c>
      <c r="B1278" s="286" t="s">
        <v>2549</v>
      </c>
      <c r="C1278" s="287" t="s">
        <v>2340</v>
      </c>
      <c r="D1278" s="283" t="s">
        <v>31</v>
      </c>
      <c r="E1278" s="284" t="s">
        <v>2550</v>
      </c>
      <c r="F1278" s="283" t="s">
        <v>2551</v>
      </c>
      <c r="G1278" s="283">
        <f t="shared" si="254"/>
        <v>17166.959524999998</v>
      </c>
      <c r="H1278" s="283"/>
      <c r="I1278" s="283"/>
      <c r="J1278" s="283"/>
      <c r="K1278" s="285">
        <v>17166.959524999998</v>
      </c>
      <c r="L1278" s="285">
        <v>0</v>
      </c>
      <c r="M1278" s="285">
        <f t="shared" si="253"/>
        <v>15400</v>
      </c>
      <c r="N1278" s="211"/>
      <c r="O1278" s="211"/>
      <c r="P1278" s="211"/>
      <c r="Q1278" s="211"/>
      <c r="R1278" s="211"/>
      <c r="S1278" s="285">
        <v>15400</v>
      </c>
      <c r="T1278" s="23"/>
      <c r="V1278" s="6">
        <f t="shared" si="252"/>
        <v>0</v>
      </c>
    </row>
    <row r="1279" spans="1:22" ht="30">
      <c r="A1279" s="280">
        <v>10</v>
      </c>
      <c r="B1279" s="286" t="s">
        <v>2552</v>
      </c>
      <c r="C1279" s="287" t="s">
        <v>2340</v>
      </c>
      <c r="D1279" s="283" t="s">
        <v>31</v>
      </c>
      <c r="E1279" s="284" t="s">
        <v>2553</v>
      </c>
      <c r="F1279" s="283" t="s">
        <v>2554</v>
      </c>
      <c r="G1279" s="283">
        <f t="shared" si="254"/>
        <v>26627.315458000001</v>
      </c>
      <c r="H1279" s="283"/>
      <c r="I1279" s="283"/>
      <c r="J1279" s="283"/>
      <c r="K1279" s="285">
        <v>26627.315458000001</v>
      </c>
      <c r="L1279" s="285">
        <v>0</v>
      </c>
      <c r="M1279" s="285">
        <f t="shared" si="253"/>
        <v>23910</v>
      </c>
      <c r="N1279" s="211"/>
      <c r="O1279" s="211"/>
      <c r="P1279" s="211"/>
      <c r="Q1279" s="211"/>
      <c r="R1279" s="211"/>
      <c r="S1279" s="285">
        <v>23910</v>
      </c>
      <c r="T1279" s="23"/>
      <c r="V1279" s="6">
        <f t="shared" si="252"/>
        <v>0</v>
      </c>
    </row>
    <row r="1280" spans="1:22" ht="60">
      <c r="A1280" s="294">
        <v>11</v>
      </c>
      <c r="B1280" s="286" t="s">
        <v>2555</v>
      </c>
      <c r="C1280" s="287" t="s">
        <v>2336</v>
      </c>
      <c r="D1280" s="283" t="s">
        <v>31</v>
      </c>
      <c r="E1280" s="284" t="s">
        <v>2556</v>
      </c>
      <c r="F1280" s="283" t="s">
        <v>2557</v>
      </c>
      <c r="G1280" s="283">
        <f t="shared" si="254"/>
        <v>14894.642315999999</v>
      </c>
      <c r="H1280" s="283"/>
      <c r="I1280" s="283"/>
      <c r="J1280" s="283"/>
      <c r="K1280" s="285">
        <v>14894.642315999999</v>
      </c>
      <c r="L1280" s="285">
        <v>0</v>
      </c>
      <c r="M1280" s="285">
        <f t="shared" si="253"/>
        <v>14349.757</v>
      </c>
      <c r="N1280" s="211"/>
      <c r="O1280" s="211"/>
      <c r="P1280" s="211"/>
      <c r="Q1280" s="211"/>
      <c r="R1280" s="211"/>
      <c r="S1280" s="285">
        <v>14349.757</v>
      </c>
      <c r="T1280" s="23"/>
      <c r="V1280" s="6">
        <f t="shared" si="252"/>
        <v>0</v>
      </c>
    </row>
    <row r="1281" spans="1:22" ht="30">
      <c r="A1281" s="280">
        <v>12</v>
      </c>
      <c r="B1281" s="286" t="s">
        <v>2558</v>
      </c>
      <c r="C1281" s="287" t="s">
        <v>2510</v>
      </c>
      <c r="D1281" s="283" t="s">
        <v>31</v>
      </c>
      <c r="E1281" s="284" t="s">
        <v>55</v>
      </c>
      <c r="F1281" s="283" t="s">
        <v>2559</v>
      </c>
      <c r="G1281" s="283">
        <v>13131.219101999999</v>
      </c>
      <c r="H1281" s="283"/>
      <c r="I1281" s="283"/>
      <c r="J1281" s="283"/>
      <c r="K1281" s="283">
        <v>13131.219101999999</v>
      </c>
      <c r="L1281" s="285">
        <v>0</v>
      </c>
      <c r="M1281" s="285">
        <f t="shared" si="253"/>
        <v>12000</v>
      </c>
      <c r="N1281" s="211"/>
      <c r="O1281" s="211"/>
      <c r="P1281" s="211"/>
      <c r="Q1281" s="211"/>
      <c r="R1281" s="211"/>
      <c r="S1281" s="285">
        <v>12000</v>
      </c>
      <c r="T1281" s="23"/>
      <c r="V1281" s="6">
        <f t="shared" si="252"/>
        <v>0</v>
      </c>
    </row>
    <row r="1282" spans="1:22" ht="75">
      <c r="A1282" s="294">
        <v>13</v>
      </c>
      <c r="B1282" s="286" t="s">
        <v>2560</v>
      </c>
      <c r="C1282" s="287" t="s">
        <v>2561</v>
      </c>
      <c r="D1282" s="283" t="s">
        <v>31</v>
      </c>
      <c r="E1282" s="284" t="s">
        <v>55</v>
      </c>
      <c r="F1282" s="283" t="s">
        <v>2562</v>
      </c>
      <c r="G1282" s="283">
        <f>K1282</f>
        <v>1016.5359999999999</v>
      </c>
      <c r="H1282" s="283"/>
      <c r="I1282" s="283"/>
      <c r="J1282" s="283"/>
      <c r="K1282" s="285">
        <v>1016.5359999999999</v>
      </c>
      <c r="L1282" s="285">
        <v>0</v>
      </c>
      <c r="M1282" s="285">
        <f t="shared" si="253"/>
        <v>950</v>
      </c>
      <c r="N1282" s="211"/>
      <c r="O1282" s="211"/>
      <c r="P1282" s="211"/>
      <c r="Q1282" s="211"/>
      <c r="R1282" s="211"/>
      <c r="S1282" s="285">
        <v>950</v>
      </c>
      <c r="T1282" s="23"/>
      <c r="V1282" s="6">
        <f t="shared" si="252"/>
        <v>0</v>
      </c>
    </row>
    <row r="1283" spans="1:22" ht="60">
      <c r="A1283" s="280">
        <v>14</v>
      </c>
      <c r="B1283" s="286" t="s">
        <v>2563</v>
      </c>
      <c r="C1283" s="287" t="s">
        <v>2564</v>
      </c>
      <c r="D1283" s="283" t="s">
        <v>31</v>
      </c>
      <c r="E1283" s="284" t="s">
        <v>2373</v>
      </c>
      <c r="F1283" s="283" t="s">
        <v>2565</v>
      </c>
      <c r="G1283" s="283">
        <f t="shared" si="254"/>
        <v>65014.076625000002</v>
      </c>
      <c r="H1283" s="283"/>
      <c r="I1283" s="283"/>
      <c r="J1283" s="283"/>
      <c r="K1283" s="285">
        <v>65014.076625000002</v>
      </c>
      <c r="L1283" s="285">
        <v>0</v>
      </c>
      <c r="M1283" s="285">
        <f t="shared" si="253"/>
        <v>67298.8</v>
      </c>
      <c r="N1283" s="211"/>
      <c r="O1283" s="211"/>
      <c r="P1283" s="211"/>
      <c r="Q1283" s="211"/>
      <c r="R1283" s="211"/>
      <c r="S1283" s="285">
        <v>67298.8</v>
      </c>
      <c r="T1283" s="23"/>
      <c r="V1283" s="6">
        <f t="shared" si="252"/>
        <v>0</v>
      </c>
    </row>
    <row r="1284" spans="1:22">
      <c r="A1284" s="288" t="s">
        <v>102</v>
      </c>
      <c r="B1284" s="289" t="s">
        <v>103</v>
      </c>
      <c r="C1284" s="290"/>
      <c r="D1284" s="291"/>
      <c r="E1284" s="292"/>
      <c r="F1284" s="291"/>
      <c r="G1284" s="291">
        <f>SUM(G1285:G1295)</f>
        <v>73557.767843000009</v>
      </c>
      <c r="H1284" s="291"/>
      <c r="I1284" s="291"/>
      <c r="J1284" s="291"/>
      <c r="K1284" s="291">
        <f>SUM(K1285:K1295)</f>
        <v>73557.767843000009</v>
      </c>
      <c r="L1284" s="291">
        <f>SUM(L1285:L1295)</f>
        <v>0</v>
      </c>
      <c r="M1284" s="293">
        <f t="shared" si="253"/>
        <v>66190</v>
      </c>
      <c r="N1284" s="211"/>
      <c r="O1284" s="211"/>
      <c r="P1284" s="211"/>
      <c r="Q1284" s="211"/>
      <c r="R1284" s="211"/>
      <c r="S1284" s="293">
        <f>SUM(S1285:S1295)</f>
        <v>66190</v>
      </c>
      <c r="T1284" s="23"/>
      <c r="V1284" s="6">
        <f t="shared" si="252"/>
        <v>0</v>
      </c>
    </row>
    <row r="1285" spans="1:22" ht="30">
      <c r="A1285" s="294">
        <v>1</v>
      </c>
      <c r="B1285" s="286" t="s">
        <v>2566</v>
      </c>
      <c r="C1285" s="287" t="s">
        <v>2352</v>
      </c>
      <c r="D1285" s="283" t="s">
        <v>31</v>
      </c>
      <c r="E1285" s="284" t="s">
        <v>542</v>
      </c>
      <c r="F1285" s="283" t="s">
        <v>2567</v>
      </c>
      <c r="G1285" s="283">
        <v>1942.665</v>
      </c>
      <c r="H1285" s="283"/>
      <c r="I1285" s="283"/>
      <c r="J1285" s="283"/>
      <c r="K1285" s="285">
        <v>1942.665</v>
      </c>
      <c r="L1285" s="285">
        <v>0</v>
      </c>
      <c r="M1285" s="285">
        <f t="shared" si="253"/>
        <v>1540</v>
      </c>
      <c r="N1285" s="211"/>
      <c r="O1285" s="211"/>
      <c r="P1285" s="211"/>
      <c r="Q1285" s="211"/>
      <c r="R1285" s="211"/>
      <c r="S1285" s="285">
        <v>1540</v>
      </c>
      <c r="T1285" s="23"/>
      <c r="V1285" s="6">
        <f t="shared" si="252"/>
        <v>0</v>
      </c>
    </row>
    <row r="1286" spans="1:22" ht="30">
      <c r="A1286" s="294">
        <v>2</v>
      </c>
      <c r="B1286" s="286" t="s">
        <v>2568</v>
      </c>
      <c r="C1286" s="287" t="s">
        <v>2330</v>
      </c>
      <c r="D1286" s="283" t="s">
        <v>31</v>
      </c>
      <c r="E1286" s="284" t="s">
        <v>414</v>
      </c>
      <c r="F1286" s="283" t="s">
        <v>2569</v>
      </c>
      <c r="G1286" s="283">
        <f t="shared" ref="G1286:G1295" si="255">K1286</f>
        <v>14366.863783000001</v>
      </c>
      <c r="H1286" s="283"/>
      <c r="I1286" s="283"/>
      <c r="J1286" s="283"/>
      <c r="K1286" s="285">
        <v>14366.863783000001</v>
      </c>
      <c r="L1286" s="285">
        <v>0</v>
      </c>
      <c r="M1286" s="285">
        <f t="shared" si="253"/>
        <v>12930</v>
      </c>
      <c r="N1286" s="211"/>
      <c r="O1286" s="211"/>
      <c r="P1286" s="211"/>
      <c r="Q1286" s="211"/>
      <c r="R1286" s="211"/>
      <c r="S1286" s="285">
        <v>12930</v>
      </c>
      <c r="T1286" s="23"/>
      <c r="V1286" s="6">
        <f t="shared" si="252"/>
        <v>0</v>
      </c>
    </row>
    <row r="1287" spans="1:22" ht="30">
      <c r="A1287" s="294">
        <v>3</v>
      </c>
      <c r="B1287" s="281" t="s">
        <v>2570</v>
      </c>
      <c r="C1287" s="282" t="s">
        <v>2407</v>
      </c>
      <c r="D1287" s="283" t="s">
        <v>31</v>
      </c>
      <c r="E1287" s="284" t="s">
        <v>2571</v>
      </c>
      <c r="F1287" s="283" t="s">
        <v>2572</v>
      </c>
      <c r="G1287" s="283">
        <f t="shared" si="255"/>
        <v>3053.9069720000002</v>
      </c>
      <c r="H1287" s="283"/>
      <c r="I1287" s="283"/>
      <c r="J1287" s="283"/>
      <c r="K1287" s="285">
        <v>3053.9069720000002</v>
      </c>
      <c r="L1287" s="285">
        <v>0</v>
      </c>
      <c r="M1287" s="285">
        <f t="shared" si="253"/>
        <v>3500</v>
      </c>
      <c r="N1287" s="211"/>
      <c r="O1287" s="211"/>
      <c r="P1287" s="211"/>
      <c r="Q1287" s="211"/>
      <c r="R1287" s="211"/>
      <c r="S1287" s="285">
        <v>3500</v>
      </c>
      <c r="T1287" s="23"/>
      <c r="V1287" s="6">
        <f t="shared" si="252"/>
        <v>0</v>
      </c>
    </row>
    <row r="1288" spans="1:22" ht="45">
      <c r="A1288" s="294">
        <v>4</v>
      </c>
      <c r="B1288" s="281" t="s">
        <v>2573</v>
      </c>
      <c r="C1288" s="282" t="s">
        <v>2352</v>
      </c>
      <c r="D1288" s="283" t="s">
        <v>31</v>
      </c>
      <c r="E1288" s="284" t="s">
        <v>414</v>
      </c>
      <c r="F1288" s="283" t="s">
        <v>2574</v>
      </c>
      <c r="G1288" s="283">
        <f t="shared" si="255"/>
        <v>13452.575999999999</v>
      </c>
      <c r="H1288" s="283"/>
      <c r="I1288" s="283"/>
      <c r="J1288" s="283"/>
      <c r="K1288" s="285">
        <v>13452.575999999999</v>
      </c>
      <c r="L1288" s="285">
        <v>0</v>
      </c>
      <c r="M1288" s="285">
        <f t="shared" si="253"/>
        <v>12300</v>
      </c>
      <c r="N1288" s="211"/>
      <c r="O1288" s="211"/>
      <c r="P1288" s="211"/>
      <c r="Q1288" s="211"/>
      <c r="R1288" s="211"/>
      <c r="S1288" s="285">
        <v>12300</v>
      </c>
      <c r="T1288" s="23"/>
      <c r="V1288" s="6">
        <f t="shared" si="252"/>
        <v>0</v>
      </c>
    </row>
    <row r="1289" spans="1:22" ht="30">
      <c r="A1289" s="294">
        <v>5</v>
      </c>
      <c r="B1289" s="281" t="s">
        <v>2575</v>
      </c>
      <c r="C1289" s="282" t="s">
        <v>2379</v>
      </c>
      <c r="D1289" s="283" t="s">
        <v>31</v>
      </c>
      <c r="E1289" s="284" t="s">
        <v>542</v>
      </c>
      <c r="F1289" s="283" t="s">
        <v>2576</v>
      </c>
      <c r="G1289" s="283">
        <f t="shared" si="255"/>
        <v>3803.5520000000001</v>
      </c>
      <c r="H1289" s="283"/>
      <c r="I1289" s="283"/>
      <c r="J1289" s="283"/>
      <c r="K1289" s="285">
        <v>3803.5520000000001</v>
      </c>
      <c r="L1289" s="285">
        <v>0</v>
      </c>
      <c r="M1289" s="285">
        <f t="shared" si="253"/>
        <v>3500</v>
      </c>
      <c r="N1289" s="211"/>
      <c r="O1289" s="211"/>
      <c r="P1289" s="211"/>
      <c r="Q1289" s="211"/>
      <c r="R1289" s="211"/>
      <c r="S1289" s="285">
        <v>3500</v>
      </c>
      <c r="T1289" s="23"/>
      <c r="V1289" s="6">
        <f t="shared" si="252"/>
        <v>0</v>
      </c>
    </row>
    <row r="1290" spans="1:22" ht="30">
      <c r="A1290" s="294">
        <v>6</v>
      </c>
      <c r="B1290" s="281" t="s">
        <v>2577</v>
      </c>
      <c r="C1290" s="282" t="s">
        <v>2519</v>
      </c>
      <c r="D1290" s="283" t="s">
        <v>31</v>
      </c>
      <c r="E1290" s="284" t="s">
        <v>542</v>
      </c>
      <c r="F1290" s="283" t="s">
        <v>2578</v>
      </c>
      <c r="G1290" s="283">
        <f t="shared" si="255"/>
        <v>4800.152</v>
      </c>
      <c r="H1290" s="283"/>
      <c r="I1290" s="283"/>
      <c r="J1290" s="283"/>
      <c r="K1290" s="285">
        <v>4800.152</v>
      </c>
      <c r="L1290" s="285">
        <v>0</v>
      </c>
      <c r="M1290" s="285">
        <f t="shared" si="253"/>
        <v>4200</v>
      </c>
      <c r="N1290" s="211"/>
      <c r="O1290" s="211"/>
      <c r="P1290" s="211"/>
      <c r="Q1290" s="211"/>
      <c r="R1290" s="211"/>
      <c r="S1290" s="285">
        <v>4200</v>
      </c>
      <c r="T1290" s="23"/>
      <c r="V1290" s="6">
        <f t="shared" si="252"/>
        <v>0</v>
      </c>
    </row>
    <row r="1291" spans="1:22" ht="30">
      <c r="A1291" s="294">
        <v>7</v>
      </c>
      <c r="B1291" s="281" t="s">
        <v>2579</v>
      </c>
      <c r="C1291" s="282" t="s">
        <v>2580</v>
      </c>
      <c r="D1291" s="283" t="s">
        <v>31</v>
      </c>
      <c r="E1291" s="284" t="s">
        <v>414</v>
      </c>
      <c r="F1291" s="283" t="s">
        <v>2581</v>
      </c>
      <c r="G1291" s="283">
        <f t="shared" si="255"/>
        <v>14489.763999999999</v>
      </c>
      <c r="H1291" s="283"/>
      <c r="I1291" s="283"/>
      <c r="J1291" s="283"/>
      <c r="K1291" s="285">
        <v>14489.763999999999</v>
      </c>
      <c r="L1291" s="285">
        <v>0</v>
      </c>
      <c r="M1291" s="285">
        <f t="shared" si="253"/>
        <v>12930</v>
      </c>
      <c r="N1291" s="211"/>
      <c r="O1291" s="211"/>
      <c r="P1291" s="211"/>
      <c r="Q1291" s="211"/>
      <c r="R1291" s="211"/>
      <c r="S1291" s="285">
        <v>12930</v>
      </c>
      <c r="T1291" s="23"/>
      <c r="V1291" s="6">
        <f t="shared" si="252"/>
        <v>0</v>
      </c>
    </row>
    <row r="1292" spans="1:22" ht="30">
      <c r="A1292" s="294">
        <v>8</v>
      </c>
      <c r="B1292" s="281" t="s">
        <v>2582</v>
      </c>
      <c r="C1292" s="282" t="s">
        <v>2321</v>
      </c>
      <c r="D1292" s="283" t="s">
        <v>31</v>
      </c>
      <c r="E1292" s="284" t="s">
        <v>2583</v>
      </c>
      <c r="F1292" s="283" t="s">
        <v>2584</v>
      </c>
      <c r="G1292" s="283">
        <f t="shared" si="255"/>
        <v>6947.3585149999999</v>
      </c>
      <c r="H1292" s="283"/>
      <c r="I1292" s="283"/>
      <c r="J1292" s="283"/>
      <c r="K1292" s="285">
        <v>6947.3585149999999</v>
      </c>
      <c r="L1292" s="285">
        <v>0</v>
      </c>
      <c r="M1292" s="285">
        <f t="shared" si="253"/>
        <v>6240</v>
      </c>
      <c r="N1292" s="211"/>
      <c r="O1292" s="211"/>
      <c r="P1292" s="211"/>
      <c r="Q1292" s="211"/>
      <c r="R1292" s="211"/>
      <c r="S1292" s="285">
        <v>6240</v>
      </c>
      <c r="T1292" s="23"/>
      <c r="V1292" s="6">
        <f t="shared" si="252"/>
        <v>0</v>
      </c>
    </row>
    <row r="1293" spans="1:22" ht="30">
      <c r="A1293" s="294">
        <v>9</v>
      </c>
      <c r="B1293" s="281" t="s">
        <v>2585</v>
      </c>
      <c r="C1293" s="282" t="s">
        <v>2464</v>
      </c>
      <c r="D1293" s="283" t="s">
        <v>31</v>
      </c>
      <c r="E1293" s="284" t="s">
        <v>2586</v>
      </c>
      <c r="F1293" s="283" t="s">
        <v>2587</v>
      </c>
      <c r="G1293" s="283">
        <f t="shared" si="255"/>
        <v>3938.9295729999999</v>
      </c>
      <c r="H1293" s="283"/>
      <c r="I1293" s="283"/>
      <c r="J1293" s="283"/>
      <c r="K1293" s="285">
        <v>3938.9295729999999</v>
      </c>
      <c r="L1293" s="285">
        <v>0</v>
      </c>
      <c r="M1293" s="285">
        <f t="shared" si="253"/>
        <v>3220</v>
      </c>
      <c r="N1293" s="211"/>
      <c r="O1293" s="211"/>
      <c r="P1293" s="211"/>
      <c r="Q1293" s="211"/>
      <c r="R1293" s="211"/>
      <c r="S1293" s="285">
        <v>3220</v>
      </c>
      <c r="T1293" s="23"/>
      <c r="V1293" s="6">
        <f t="shared" si="252"/>
        <v>0</v>
      </c>
    </row>
    <row r="1294" spans="1:22" ht="30">
      <c r="A1294" s="294">
        <v>10</v>
      </c>
      <c r="B1294" s="281" t="s">
        <v>2588</v>
      </c>
      <c r="C1294" s="282" t="s">
        <v>2500</v>
      </c>
      <c r="D1294" s="283" t="s">
        <v>31</v>
      </c>
      <c r="E1294" s="284" t="s">
        <v>542</v>
      </c>
      <c r="F1294" s="283" t="s">
        <v>2589</v>
      </c>
      <c r="G1294" s="283">
        <v>2620</v>
      </c>
      <c r="H1294" s="283"/>
      <c r="I1294" s="283"/>
      <c r="J1294" s="283"/>
      <c r="K1294" s="285">
        <v>2620</v>
      </c>
      <c r="L1294" s="285">
        <v>0</v>
      </c>
      <c r="M1294" s="285">
        <f t="shared" si="253"/>
        <v>1830</v>
      </c>
      <c r="N1294" s="211"/>
      <c r="O1294" s="211"/>
      <c r="P1294" s="211"/>
      <c r="Q1294" s="211"/>
      <c r="R1294" s="211"/>
      <c r="S1294" s="285">
        <v>1830</v>
      </c>
      <c r="T1294" s="23"/>
      <c r="V1294" s="6">
        <f t="shared" si="252"/>
        <v>0</v>
      </c>
    </row>
    <row r="1295" spans="1:22" ht="30">
      <c r="A1295" s="294">
        <v>11</v>
      </c>
      <c r="B1295" s="281" t="s">
        <v>2590</v>
      </c>
      <c r="C1295" s="282" t="s">
        <v>2326</v>
      </c>
      <c r="D1295" s="283" t="s">
        <v>31</v>
      </c>
      <c r="E1295" s="284" t="s">
        <v>414</v>
      </c>
      <c r="F1295" s="283" t="s">
        <v>2591</v>
      </c>
      <c r="G1295" s="295">
        <f t="shared" si="255"/>
        <v>4142</v>
      </c>
      <c r="H1295" s="295"/>
      <c r="I1295" s="295"/>
      <c r="J1295" s="295"/>
      <c r="K1295" s="295">
        <v>4142</v>
      </c>
      <c r="L1295" s="285">
        <v>0</v>
      </c>
      <c r="M1295" s="285">
        <f t="shared" si="253"/>
        <v>4000</v>
      </c>
      <c r="N1295" s="211"/>
      <c r="O1295" s="211"/>
      <c r="P1295" s="211"/>
      <c r="Q1295" s="211"/>
      <c r="R1295" s="211"/>
      <c r="S1295" s="285">
        <v>4000</v>
      </c>
      <c r="T1295" s="23"/>
      <c r="V1295" s="6">
        <f t="shared" si="252"/>
        <v>0</v>
      </c>
    </row>
    <row r="1296" spans="1:22">
      <c r="A1296" s="288" t="s">
        <v>2592</v>
      </c>
      <c r="B1296" s="289" t="s">
        <v>2593</v>
      </c>
      <c r="C1296" s="290"/>
      <c r="D1296" s="291"/>
      <c r="E1296" s="292"/>
      <c r="F1296" s="291"/>
      <c r="G1296" s="291">
        <f>SUM(G1297:G1302)</f>
        <v>18660.314536999998</v>
      </c>
      <c r="H1296" s="291"/>
      <c r="I1296" s="291"/>
      <c r="J1296" s="291"/>
      <c r="K1296" s="291">
        <f>SUM(K1297:K1302)</f>
        <v>18660.314536999998</v>
      </c>
      <c r="L1296" s="291">
        <f>SUM(L1297:L1302)</f>
        <v>0</v>
      </c>
      <c r="M1296" s="293">
        <f t="shared" si="253"/>
        <v>14220</v>
      </c>
      <c r="N1296" s="211"/>
      <c r="O1296" s="211"/>
      <c r="P1296" s="211"/>
      <c r="Q1296" s="211"/>
      <c r="R1296" s="211"/>
      <c r="S1296" s="293">
        <f>SUM(S1297:S1302)</f>
        <v>14220</v>
      </c>
      <c r="T1296" s="23"/>
      <c r="V1296" s="6">
        <f t="shared" si="252"/>
        <v>0</v>
      </c>
    </row>
    <row r="1297" spans="1:22" ht="30">
      <c r="A1297" s="294">
        <v>1</v>
      </c>
      <c r="B1297" s="281" t="s">
        <v>2594</v>
      </c>
      <c r="C1297" s="282" t="s">
        <v>2352</v>
      </c>
      <c r="D1297" s="283" t="s">
        <v>31</v>
      </c>
      <c r="E1297" s="284" t="s">
        <v>2595</v>
      </c>
      <c r="F1297" s="283" t="s">
        <v>2491</v>
      </c>
      <c r="G1297" s="283">
        <f t="shared" ref="G1297:G1302" si="256">K1297</f>
        <v>1692.6935370000001</v>
      </c>
      <c r="H1297" s="283"/>
      <c r="I1297" s="283"/>
      <c r="J1297" s="283"/>
      <c r="K1297" s="285">
        <v>1692.6935370000001</v>
      </c>
      <c r="L1297" s="285">
        <v>0</v>
      </c>
      <c r="M1297" s="285">
        <f t="shared" si="253"/>
        <v>1600</v>
      </c>
      <c r="N1297" s="211"/>
      <c r="O1297" s="211"/>
      <c r="P1297" s="211"/>
      <c r="Q1297" s="211"/>
      <c r="R1297" s="211"/>
      <c r="S1297" s="285">
        <v>1600</v>
      </c>
      <c r="T1297" s="23"/>
      <c r="V1297" s="6">
        <f t="shared" si="252"/>
        <v>0</v>
      </c>
    </row>
    <row r="1298" spans="1:22" ht="30">
      <c r="A1298" s="294">
        <v>2</v>
      </c>
      <c r="B1298" s="281" t="s">
        <v>2596</v>
      </c>
      <c r="C1298" s="282" t="s">
        <v>2330</v>
      </c>
      <c r="D1298" s="283" t="s">
        <v>31</v>
      </c>
      <c r="E1298" s="284" t="s">
        <v>2595</v>
      </c>
      <c r="F1298" s="283" t="s">
        <v>2597</v>
      </c>
      <c r="G1298" s="283">
        <f t="shared" si="256"/>
        <v>750.73400000000004</v>
      </c>
      <c r="H1298" s="283"/>
      <c r="I1298" s="283"/>
      <c r="J1298" s="283"/>
      <c r="K1298" s="285">
        <v>750.73400000000004</v>
      </c>
      <c r="L1298" s="285">
        <v>0</v>
      </c>
      <c r="M1298" s="285">
        <f t="shared" si="253"/>
        <v>1200</v>
      </c>
      <c r="N1298" s="211"/>
      <c r="O1298" s="211"/>
      <c r="P1298" s="211"/>
      <c r="Q1298" s="211"/>
      <c r="R1298" s="211"/>
      <c r="S1298" s="285">
        <v>1200</v>
      </c>
      <c r="T1298" s="23"/>
      <c r="V1298" s="6">
        <f t="shared" si="252"/>
        <v>0</v>
      </c>
    </row>
    <row r="1299" spans="1:22" ht="30">
      <c r="A1299" s="294">
        <v>3</v>
      </c>
      <c r="B1299" s="281" t="s">
        <v>2598</v>
      </c>
      <c r="C1299" s="282" t="s">
        <v>2326</v>
      </c>
      <c r="D1299" s="283" t="s">
        <v>31</v>
      </c>
      <c r="E1299" s="284" t="s">
        <v>2595</v>
      </c>
      <c r="F1299" s="283" t="s">
        <v>2599</v>
      </c>
      <c r="G1299" s="283">
        <f t="shared" si="256"/>
        <v>4674.68</v>
      </c>
      <c r="H1299" s="283"/>
      <c r="I1299" s="283"/>
      <c r="J1299" s="283"/>
      <c r="K1299" s="285">
        <v>4674.68</v>
      </c>
      <c r="L1299" s="285">
        <v>0</v>
      </c>
      <c r="M1299" s="285">
        <f t="shared" si="253"/>
        <v>3510</v>
      </c>
      <c r="N1299" s="211"/>
      <c r="O1299" s="211"/>
      <c r="P1299" s="211"/>
      <c r="Q1299" s="211"/>
      <c r="R1299" s="211"/>
      <c r="S1299" s="285">
        <v>3510</v>
      </c>
      <c r="T1299" s="23"/>
      <c r="V1299" s="6">
        <f t="shared" si="252"/>
        <v>0</v>
      </c>
    </row>
    <row r="1300" spans="1:22" ht="30">
      <c r="A1300" s="294">
        <v>4</v>
      </c>
      <c r="B1300" s="281" t="s">
        <v>2600</v>
      </c>
      <c r="C1300" s="282" t="s">
        <v>2356</v>
      </c>
      <c r="D1300" s="283" t="s">
        <v>31</v>
      </c>
      <c r="E1300" s="284" t="s">
        <v>2595</v>
      </c>
      <c r="F1300" s="283" t="s">
        <v>2601</v>
      </c>
      <c r="G1300" s="283">
        <f t="shared" si="256"/>
        <v>9637.7199999999993</v>
      </c>
      <c r="H1300" s="283"/>
      <c r="I1300" s="283"/>
      <c r="J1300" s="283"/>
      <c r="K1300" s="285">
        <v>9637.7199999999993</v>
      </c>
      <c r="L1300" s="285">
        <v>0</v>
      </c>
      <c r="M1300" s="285">
        <f t="shared" si="253"/>
        <v>6310</v>
      </c>
      <c r="N1300" s="211"/>
      <c r="O1300" s="211"/>
      <c r="P1300" s="211"/>
      <c r="Q1300" s="211"/>
      <c r="R1300" s="211"/>
      <c r="S1300" s="285">
        <v>6310</v>
      </c>
      <c r="T1300" s="23"/>
      <c r="V1300" s="6">
        <f t="shared" ref="V1300:V1363" si="257">G1300-H1300-I1300-J1300-K1300</f>
        <v>0</v>
      </c>
    </row>
    <row r="1301" spans="1:22">
      <c r="A1301" s="294">
        <v>5</v>
      </c>
      <c r="B1301" s="281" t="s">
        <v>2602</v>
      </c>
      <c r="C1301" s="282" t="s">
        <v>2332</v>
      </c>
      <c r="D1301" s="283" t="s">
        <v>31</v>
      </c>
      <c r="E1301" s="284" t="s">
        <v>2595</v>
      </c>
      <c r="F1301" s="283" t="s">
        <v>2603</v>
      </c>
      <c r="G1301" s="283">
        <f t="shared" si="256"/>
        <v>940.71500000000003</v>
      </c>
      <c r="H1301" s="283"/>
      <c r="I1301" s="283"/>
      <c r="J1301" s="283"/>
      <c r="K1301" s="285">
        <v>940.71500000000003</v>
      </c>
      <c r="L1301" s="285">
        <v>0</v>
      </c>
      <c r="M1301" s="285">
        <f t="shared" si="253"/>
        <v>800</v>
      </c>
      <c r="N1301" s="211"/>
      <c r="O1301" s="211"/>
      <c r="P1301" s="211"/>
      <c r="Q1301" s="211"/>
      <c r="R1301" s="211"/>
      <c r="S1301" s="285">
        <v>800</v>
      </c>
      <c r="T1301" s="23"/>
      <c r="V1301" s="6">
        <f t="shared" si="257"/>
        <v>0</v>
      </c>
    </row>
    <row r="1302" spans="1:22" ht="30">
      <c r="A1302" s="294">
        <v>6</v>
      </c>
      <c r="B1302" s="281" t="s">
        <v>2604</v>
      </c>
      <c r="C1302" s="282" t="s">
        <v>2519</v>
      </c>
      <c r="D1302" s="283" t="s">
        <v>31</v>
      </c>
      <c r="E1302" s="284" t="s">
        <v>2595</v>
      </c>
      <c r="F1302" s="283" t="s">
        <v>2601</v>
      </c>
      <c r="G1302" s="283">
        <f t="shared" si="256"/>
        <v>963.77200000000005</v>
      </c>
      <c r="H1302" s="283"/>
      <c r="I1302" s="283"/>
      <c r="J1302" s="283"/>
      <c r="K1302" s="285">
        <v>963.77200000000005</v>
      </c>
      <c r="L1302" s="285">
        <v>0</v>
      </c>
      <c r="M1302" s="285">
        <f t="shared" si="253"/>
        <v>800</v>
      </c>
      <c r="N1302" s="211"/>
      <c r="O1302" s="211"/>
      <c r="P1302" s="211"/>
      <c r="Q1302" s="211"/>
      <c r="R1302" s="211"/>
      <c r="S1302" s="285">
        <v>800</v>
      </c>
      <c r="T1302" s="23"/>
      <c r="V1302" s="6">
        <f t="shared" si="257"/>
        <v>0</v>
      </c>
    </row>
    <row r="1303" spans="1:22" ht="29.25">
      <c r="A1303" s="468" t="s">
        <v>681</v>
      </c>
      <c r="B1303" s="547" t="s">
        <v>2605</v>
      </c>
      <c r="C1303" s="296"/>
      <c r="D1303" s="296"/>
      <c r="E1303" s="296"/>
      <c r="F1303" s="296"/>
      <c r="G1303" s="553">
        <f>G1304+G1317</f>
        <v>1005512.5322929999</v>
      </c>
      <c r="H1303" s="553"/>
      <c r="I1303" s="553"/>
      <c r="J1303" s="553"/>
      <c r="K1303" s="553">
        <f>K1304+K1317</f>
        <v>1005512.5322929999</v>
      </c>
      <c r="L1303" s="553">
        <f>L1304+L1317</f>
        <v>2060.6</v>
      </c>
      <c r="M1303" s="576">
        <f>M1304+M1317</f>
        <v>616194</v>
      </c>
      <c r="N1303" s="576"/>
      <c r="O1303" s="576"/>
      <c r="P1303" s="576"/>
      <c r="Q1303" s="576"/>
      <c r="R1303" s="576"/>
      <c r="S1303" s="576">
        <f>S1304+S1317</f>
        <v>616194</v>
      </c>
      <c r="T1303" s="279"/>
      <c r="V1303" s="6">
        <f t="shared" si="257"/>
        <v>0</v>
      </c>
    </row>
    <row r="1304" spans="1:22" s="26" customFormat="1" ht="32.25" customHeight="1">
      <c r="A1304" s="356" t="s">
        <v>37</v>
      </c>
      <c r="B1304" s="557" t="s">
        <v>1258</v>
      </c>
      <c r="C1304" s="359"/>
      <c r="D1304" s="359"/>
      <c r="E1304" s="558"/>
      <c r="F1304" s="364"/>
      <c r="G1304" s="361">
        <f>SUM(G1305:G1316)</f>
        <v>12272.100563</v>
      </c>
      <c r="H1304" s="361"/>
      <c r="I1304" s="361"/>
      <c r="J1304" s="361"/>
      <c r="K1304" s="361">
        <f>SUM(K1305:K1316)</f>
        <v>12272.100563</v>
      </c>
      <c r="L1304" s="365">
        <f>SUM(L1305:L1316)</f>
        <v>1057.5999999999999</v>
      </c>
      <c r="M1304" s="540">
        <f>SUM(M1305:M1316)</f>
        <v>10354</v>
      </c>
      <c r="N1304" s="211"/>
      <c r="O1304" s="211"/>
      <c r="P1304" s="211"/>
      <c r="Q1304" s="211"/>
      <c r="R1304" s="211"/>
      <c r="S1304" s="362">
        <f>SUM(S1305:S1316)</f>
        <v>10354</v>
      </c>
      <c r="T1304" s="23"/>
      <c r="V1304" s="6">
        <f t="shared" si="257"/>
        <v>0</v>
      </c>
    </row>
    <row r="1305" spans="1:22" s="26" customFormat="1" ht="45">
      <c r="A1305" s="299">
        <v>1</v>
      </c>
      <c r="B1305" s="300" t="s">
        <v>2606</v>
      </c>
      <c r="C1305" s="301" t="s">
        <v>2607</v>
      </c>
      <c r="D1305" s="302" t="s">
        <v>31</v>
      </c>
      <c r="E1305" s="303" t="s">
        <v>160</v>
      </c>
      <c r="F1305" s="303" t="s">
        <v>2608</v>
      </c>
      <c r="G1305" s="304">
        <f>K1305</f>
        <v>2767</v>
      </c>
      <c r="H1305" s="304"/>
      <c r="I1305" s="304"/>
      <c r="J1305" s="304"/>
      <c r="K1305" s="304">
        <v>2767</v>
      </c>
      <c r="L1305" s="305">
        <v>500</v>
      </c>
      <c r="M1305" s="306">
        <v>1990</v>
      </c>
      <c r="N1305" s="17"/>
      <c r="O1305" s="17"/>
      <c r="P1305" s="17"/>
      <c r="Q1305" s="17"/>
      <c r="R1305" s="17"/>
      <c r="S1305" s="306">
        <v>1990</v>
      </c>
      <c r="T1305" s="23"/>
      <c r="V1305" s="6">
        <f t="shared" si="257"/>
        <v>0</v>
      </c>
    </row>
    <row r="1306" spans="1:22" s="26" customFormat="1" ht="30">
      <c r="A1306" s="299">
        <v>2</v>
      </c>
      <c r="B1306" s="300" t="s">
        <v>2609</v>
      </c>
      <c r="C1306" s="301" t="s">
        <v>2610</v>
      </c>
      <c r="D1306" s="302" t="s">
        <v>31</v>
      </c>
      <c r="E1306" s="303" t="s">
        <v>160</v>
      </c>
      <c r="F1306" s="303" t="s">
        <v>2611</v>
      </c>
      <c r="G1306" s="304">
        <f>K1306</f>
        <v>3320</v>
      </c>
      <c r="H1306" s="304"/>
      <c r="I1306" s="304"/>
      <c r="J1306" s="304"/>
      <c r="K1306" s="304">
        <v>3320</v>
      </c>
      <c r="L1306" s="305">
        <v>557.6</v>
      </c>
      <c r="M1306" s="306">
        <v>2409</v>
      </c>
      <c r="N1306" s="17"/>
      <c r="O1306" s="17"/>
      <c r="P1306" s="17"/>
      <c r="Q1306" s="17"/>
      <c r="R1306" s="17"/>
      <c r="S1306" s="306">
        <v>2409</v>
      </c>
      <c r="T1306" s="23"/>
      <c r="V1306" s="6">
        <f t="shared" si="257"/>
        <v>0</v>
      </c>
    </row>
    <row r="1307" spans="1:22" s="26" customFormat="1" ht="30">
      <c r="A1307" s="299">
        <v>3</v>
      </c>
      <c r="B1307" s="300" t="s">
        <v>2612</v>
      </c>
      <c r="C1307" s="301" t="s">
        <v>2613</v>
      </c>
      <c r="D1307" s="302" t="s">
        <v>31</v>
      </c>
      <c r="E1307" s="303" t="s">
        <v>55</v>
      </c>
      <c r="F1307" s="303" t="s">
        <v>2614</v>
      </c>
      <c r="G1307" s="305">
        <f t="shared" ref="G1307:G1315" si="258">K1307</f>
        <v>407</v>
      </c>
      <c r="H1307" s="305"/>
      <c r="I1307" s="305"/>
      <c r="J1307" s="305"/>
      <c r="K1307" s="305">
        <v>407</v>
      </c>
      <c r="L1307" s="305">
        <v>0</v>
      </c>
      <c r="M1307" s="306">
        <v>367</v>
      </c>
      <c r="N1307" s="17"/>
      <c r="O1307" s="17"/>
      <c r="P1307" s="17"/>
      <c r="Q1307" s="17"/>
      <c r="R1307" s="17"/>
      <c r="S1307" s="306">
        <v>367</v>
      </c>
      <c r="T1307" s="23"/>
      <c r="V1307" s="6">
        <f t="shared" si="257"/>
        <v>0</v>
      </c>
    </row>
    <row r="1308" spans="1:22" s="26" customFormat="1" ht="30">
      <c r="A1308" s="299">
        <v>4</v>
      </c>
      <c r="B1308" s="300" t="s">
        <v>2615</v>
      </c>
      <c r="C1308" s="301" t="s">
        <v>2616</v>
      </c>
      <c r="D1308" s="302" t="s">
        <v>31</v>
      </c>
      <c r="E1308" s="303" t="s">
        <v>55</v>
      </c>
      <c r="F1308" s="303" t="s">
        <v>2617</v>
      </c>
      <c r="G1308" s="305">
        <f t="shared" si="258"/>
        <v>326</v>
      </c>
      <c r="H1308" s="305"/>
      <c r="I1308" s="305"/>
      <c r="J1308" s="305"/>
      <c r="K1308" s="305">
        <v>326</v>
      </c>
      <c r="L1308" s="305">
        <v>0</v>
      </c>
      <c r="M1308" s="306">
        <v>352</v>
      </c>
      <c r="N1308" s="17"/>
      <c r="O1308" s="17"/>
      <c r="P1308" s="17"/>
      <c r="Q1308" s="17"/>
      <c r="R1308" s="17"/>
      <c r="S1308" s="306">
        <v>352</v>
      </c>
      <c r="T1308" s="23"/>
      <c r="V1308" s="6">
        <f t="shared" si="257"/>
        <v>0</v>
      </c>
    </row>
    <row r="1309" spans="1:22" s="26" customFormat="1" ht="30">
      <c r="A1309" s="299">
        <v>5</v>
      </c>
      <c r="B1309" s="300" t="s">
        <v>2618</v>
      </c>
      <c r="C1309" s="301" t="s">
        <v>2619</v>
      </c>
      <c r="D1309" s="302" t="s">
        <v>31</v>
      </c>
      <c r="E1309" s="303" t="s">
        <v>55</v>
      </c>
      <c r="F1309" s="303" t="s">
        <v>2620</v>
      </c>
      <c r="G1309" s="305">
        <f t="shared" si="258"/>
        <v>408</v>
      </c>
      <c r="H1309" s="305"/>
      <c r="I1309" s="305"/>
      <c r="J1309" s="305"/>
      <c r="K1309" s="305">
        <v>408</v>
      </c>
      <c r="L1309" s="305">
        <v>0</v>
      </c>
      <c r="M1309" s="306">
        <v>403</v>
      </c>
      <c r="N1309" s="17"/>
      <c r="O1309" s="17"/>
      <c r="P1309" s="17"/>
      <c r="Q1309" s="17"/>
      <c r="R1309" s="17"/>
      <c r="S1309" s="306">
        <v>403</v>
      </c>
      <c r="T1309" s="23"/>
      <c r="V1309" s="6">
        <f t="shared" si="257"/>
        <v>0</v>
      </c>
    </row>
    <row r="1310" spans="1:22" s="26" customFormat="1" ht="30">
      <c r="A1310" s="299">
        <v>6</v>
      </c>
      <c r="B1310" s="300" t="s">
        <v>2621</v>
      </c>
      <c r="C1310" s="301" t="s">
        <v>2622</v>
      </c>
      <c r="D1310" s="302" t="s">
        <v>31</v>
      </c>
      <c r="E1310" s="303" t="s">
        <v>55</v>
      </c>
      <c r="F1310" s="303" t="s">
        <v>2623</v>
      </c>
      <c r="G1310" s="305">
        <f t="shared" si="258"/>
        <v>274</v>
      </c>
      <c r="H1310" s="305"/>
      <c r="I1310" s="305"/>
      <c r="J1310" s="305"/>
      <c r="K1310" s="305">
        <v>274</v>
      </c>
      <c r="L1310" s="305">
        <v>0</v>
      </c>
      <c r="M1310" s="306">
        <v>309</v>
      </c>
      <c r="N1310" s="17"/>
      <c r="O1310" s="17"/>
      <c r="P1310" s="17"/>
      <c r="Q1310" s="17"/>
      <c r="R1310" s="17"/>
      <c r="S1310" s="306">
        <v>309</v>
      </c>
      <c r="T1310" s="23"/>
      <c r="V1310" s="6">
        <f t="shared" si="257"/>
        <v>0</v>
      </c>
    </row>
    <row r="1311" spans="1:22" s="26" customFormat="1" ht="30">
      <c r="A1311" s="299">
        <v>7</v>
      </c>
      <c r="B1311" s="300" t="s">
        <v>2624</v>
      </c>
      <c r="C1311" s="301" t="s">
        <v>2625</v>
      </c>
      <c r="D1311" s="302" t="s">
        <v>31</v>
      </c>
      <c r="E1311" s="303" t="s">
        <v>55</v>
      </c>
      <c r="F1311" s="303" t="s">
        <v>2626</v>
      </c>
      <c r="G1311" s="305">
        <f t="shared" si="258"/>
        <v>468</v>
      </c>
      <c r="H1311" s="305"/>
      <c r="I1311" s="305"/>
      <c r="J1311" s="305"/>
      <c r="K1311" s="305">
        <v>468</v>
      </c>
      <c r="L1311" s="305">
        <v>0</v>
      </c>
      <c r="M1311" s="306">
        <v>462</v>
      </c>
      <c r="N1311" s="17"/>
      <c r="O1311" s="17"/>
      <c r="P1311" s="17"/>
      <c r="Q1311" s="17"/>
      <c r="R1311" s="17"/>
      <c r="S1311" s="306">
        <v>462</v>
      </c>
      <c r="T1311" s="23"/>
      <c r="V1311" s="6">
        <f t="shared" si="257"/>
        <v>0</v>
      </c>
    </row>
    <row r="1312" spans="1:22" s="26" customFormat="1" ht="30">
      <c r="A1312" s="299">
        <v>8</v>
      </c>
      <c r="B1312" s="300" t="s">
        <v>2627</v>
      </c>
      <c r="C1312" s="301" t="s">
        <v>2628</v>
      </c>
      <c r="D1312" s="302" t="s">
        <v>31</v>
      </c>
      <c r="E1312" s="303" t="s">
        <v>55</v>
      </c>
      <c r="F1312" s="303" t="s">
        <v>2629</v>
      </c>
      <c r="G1312" s="305">
        <f t="shared" si="258"/>
        <v>400</v>
      </c>
      <c r="H1312" s="305"/>
      <c r="I1312" s="305"/>
      <c r="J1312" s="305"/>
      <c r="K1312" s="305">
        <v>400</v>
      </c>
      <c r="L1312" s="305">
        <v>0</v>
      </c>
      <c r="M1312" s="306">
        <v>395</v>
      </c>
      <c r="N1312" s="17"/>
      <c r="O1312" s="17"/>
      <c r="P1312" s="17"/>
      <c r="Q1312" s="17"/>
      <c r="R1312" s="17"/>
      <c r="S1312" s="306">
        <v>395</v>
      </c>
      <c r="T1312" s="23"/>
      <c r="V1312" s="6">
        <f t="shared" si="257"/>
        <v>0</v>
      </c>
    </row>
    <row r="1313" spans="1:22" s="26" customFormat="1" ht="30">
      <c r="A1313" s="299">
        <v>9</v>
      </c>
      <c r="B1313" s="300" t="s">
        <v>2630</v>
      </c>
      <c r="C1313" s="301" t="s">
        <v>2610</v>
      </c>
      <c r="D1313" s="302" t="s">
        <v>31</v>
      </c>
      <c r="E1313" s="303" t="s">
        <v>55</v>
      </c>
      <c r="F1313" s="303" t="s">
        <v>2631</v>
      </c>
      <c r="G1313" s="305">
        <f t="shared" si="258"/>
        <v>376</v>
      </c>
      <c r="H1313" s="305"/>
      <c r="I1313" s="305"/>
      <c r="J1313" s="305"/>
      <c r="K1313" s="305">
        <v>376</v>
      </c>
      <c r="L1313" s="305">
        <v>0</v>
      </c>
      <c r="M1313" s="306">
        <v>367</v>
      </c>
      <c r="N1313" s="17"/>
      <c r="O1313" s="17"/>
      <c r="P1313" s="17"/>
      <c r="Q1313" s="17"/>
      <c r="R1313" s="17"/>
      <c r="S1313" s="306">
        <v>367</v>
      </c>
      <c r="T1313" s="23"/>
      <c r="V1313" s="6">
        <f t="shared" si="257"/>
        <v>0</v>
      </c>
    </row>
    <row r="1314" spans="1:22" s="26" customFormat="1" ht="30">
      <c r="A1314" s="299">
        <v>10</v>
      </c>
      <c r="B1314" s="300" t="s">
        <v>2632</v>
      </c>
      <c r="C1314" s="301" t="s">
        <v>2633</v>
      </c>
      <c r="D1314" s="302" t="s">
        <v>31</v>
      </c>
      <c r="E1314" s="303" t="s">
        <v>55</v>
      </c>
      <c r="F1314" s="303" t="s">
        <v>2634</v>
      </c>
      <c r="G1314" s="305">
        <f t="shared" si="258"/>
        <v>342</v>
      </c>
      <c r="H1314" s="305"/>
      <c r="I1314" s="305"/>
      <c r="J1314" s="305"/>
      <c r="K1314" s="305">
        <v>342</v>
      </c>
      <c r="L1314" s="305">
        <v>0</v>
      </c>
      <c r="M1314" s="306">
        <v>353</v>
      </c>
      <c r="N1314" s="17"/>
      <c r="O1314" s="17"/>
      <c r="P1314" s="17"/>
      <c r="Q1314" s="17"/>
      <c r="R1314" s="17"/>
      <c r="S1314" s="306">
        <v>353</v>
      </c>
      <c r="T1314" s="23"/>
      <c r="V1314" s="6">
        <f t="shared" si="257"/>
        <v>0</v>
      </c>
    </row>
    <row r="1315" spans="1:22" s="26" customFormat="1" ht="30">
      <c r="A1315" s="299">
        <v>11</v>
      </c>
      <c r="B1315" s="300" t="s">
        <v>2635</v>
      </c>
      <c r="C1315" s="301" t="s">
        <v>2636</v>
      </c>
      <c r="D1315" s="302" t="s">
        <v>31</v>
      </c>
      <c r="E1315" s="303" t="s">
        <v>55</v>
      </c>
      <c r="F1315" s="303" t="s">
        <v>2637</v>
      </c>
      <c r="G1315" s="305">
        <f t="shared" si="258"/>
        <v>276</v>
      </c>
      <c r="H1315" s="305"/>
      <c r="I1315" s="305"/>
      <c r="J1315" s="305"/>
      <c r="K1315" s="305">
        <v>276</v>
      </c>
      <c r="L1315" s="305">
        <v>0</v>
      </c>
      <c r="M1315" s="306">
        <v>338</v>
      </c>
      <c r="N1315" s="17"/>
      <c r="O1315" s="17"/>
      <c r="P1315" s="17"/>
      <c r="Q1315" s="17"/>
      <c r="R1315" s="17"/>
      <c r="S1315" s="306">
        <v>338</v>
      </c>
      <c r="T1315" s="23"/>
      <c r="V1315" s="6">
        <f t="shared" si="257"/>
        <v>0</v>
      </c>
    </row>
    <row r="1316" spans="1:22" s="26" customFormat="1" ht="60">
      <c r="A1316" s="299">
        <v>12</v>
      </c>
      <c r="B1316" s="307" t="s">
        <v>2638</v>
      </c>
      <c r="C1316" s="301" t="s">
        <v>2639</v>
      </c>
      <c r="D1316" s="302" t="s">
        <v>31</v>
      </c>
      <c r="E1316" s="303" t="s">
        <v>55</v>
      </c>
      <c r="F1316" s="308" t="s">
        <v>2640</v>
      </c>
      <c r="G1316" s="304">
        <v>2908.100563</v>
      </c>
      <c r="H1316" s="304"/>
      <c r="I1316" s="304"/>
      <c r="J1316" s="304"/>
      <c r="K1316" s="304">
        <v>2908.100563</v>
      </c>
      <c r="L1316" s="305"/>
      <c r="M1316" s="306">
        <v>2609</v>
      </c>
      <c r="N1316" s="17"/>
      <c r="O1316" s="17"/>
      <c r="P1316" s="17"/>
      <c r="Q1316" s="17"/>
      <c r="R1316" s="17"/>
      <c r="S1316" s="306">
        <v>2609</v>
      </c>
      <c r="T1316" s="23"/>
      <c r="V1316" s="6">
        <f t="shared" si="257"/>
        <v>0</v>
      </c>
    </row>
    <row r="1317" spans="1:22" s="26" customFormat="1" ht="21.75" customHeight="1">
      <c r="A1317" s="356" t="s">
        <v>69</v>
      </c>
      <c r="B1317" s="557" t="s">
        <v>871</v>
      </c>
      <c r="C1317" s="359"/>
      <c r="D1317" s="359"/>
      <c r="E1317" s="558"/>
      <c r="F1317" s="364"/>
      <c r="G1317" s="361">
        <f>G1318+G1319+G1320+G1373</f>
        <v>993240.43172999995</v>
      </c>
      <c r="H1317" s="361"/>
      <c r="I1317" s="361"/>
      <c r="J1317" s="361"/>
      <c r="K1317" s="361">
        <f>K1318+K1319+K1320+K1373</f>
        <v>993240.43172999995</v>
      </c>
      <c r="L1317" s="365">
        <f>L1318+L1319+L1320+L1373</f>
        <v>1003</v>
      </c>
      <c r="M1317" s="540">
        <f>M1318+M1319+M1320+M1373</f>
        <v>605840</v>
      </c>
      <c r="N1317" s="211"/>
      <c r="O1317" s="211"/>
      <c r="P1317" s="211"/>
      <c r="Q1317" s="211"/>
      <c r="R1317" s="211"/>
      <c r="S1317" s="362">
        <f>S1318+S1319+S1320+S1373</f>
        <v>605840</v>
      </c>
      <c r="T1317" s="23"/>
      <c r="V1317" s="6">
        <f t="shared" si="257"/>
        <v>0</v>
      </c>
    </row>
    <row r="1318" spans="1:22" s="26" customFormat="1" ht="27.75" customHeight="1">
      <c r="A1318" s="247" t="s">
        <v>71</v>
      </c>
      <c r="B1318" s="309" t="s">
        <v>1981</v>
      </c>
      <c r="C1318" s="310"/>
      <c r="D1318" s="311"/>
      <c r="E1318" s="311"/>
      <c r="F1318" s="312"/>
      <c r="G1318" s="312"/>
      <c r="H1318" s="312"/>
      <c r="I1318" s="312"/>
      <c r="J1318" s="312"/>
      <c r="K1318" s="312"/>
      <c r="L1318" s="312"/>
      <c r="M1318" s="312"/>
      <c r="N1318" s="17"/>
      <c r="O1318" s="17"/>
      <c r="P1318" s="17"/>
      <c r="Q1318" s="17"/>
      <c r="R1318" s="17"/>
      <c r="S1318" s="312"/>
      <c r="T1318" s="23"/>
      <c r="V1318" s="6">
        <f t="shared" si="257"/>
        <v>0</v>
      </c>
    </row>
    <row r="1319" spans="1:22" s="26" customFormat="1">
      <c r="A1319" s="313" t="s">
        <v>82</v>
      </c>
      <c r="B1319" s="314" t="s">
        <v>83</v>
      </c>
      <c r="C1319" s="310"/>
      <c r="D1319" s="311"/>
      <c r="E1319" s="311"/>
      <c r="F1319" s="312"/>
      <c r="G1319" s="312"/>
      <c r="H1319" s="312"/>
      <c r="I1319" s="312"/>
      <c r="J1319" s="312"/>
      <c r="K1319" s="312"/>
      <c r="L1319" s="312"/>
      <c r="M1319" s="312"/>
      <c r="N1319" s="17"/>
      <c r="O1319" s="17"/>
      <c r="P1319" s="17"/>
      <c r="Q1319" s="17"/>
      <c r="R1319" s="17"/>
      <c r="S1319" s="312"/>
      <c r="T1319" s="23"/>
      <c r="V1319" s="6">
        <f t="shared" si="257"/>
        <v>0</v>
      </c>
    </row>
    <row r="1320" spans="1:22" s="26" customFormat="1">
      <c r="A1320" s="313" t="s">
        <v>102</v>
      </c>
      <c r="B1320" s="314" t="s">
        <v>103</v>
      </c>
      <c r="C1320" s="310"/>
      <c r="D1320" s="311"/>
      <c r="E1320" s="311"/>
      <c r="F1320" s="312"/>
      <c r="G1320" s="312">
        <f>SUM(G1321:G1372)</f>
        <v>978740.43172999995</v>
      </c>
      <c r="H1320" s="312"/>
      <c r="I1320" s="312"/>
      <c r="J1320" s="312"/>
      <c r="K1320" s="312">
        <f>SUM(K1321:K1372)</f>
        <v>978740.43172999995</v>
      </c>
      <c r="L1320" s="312">
        <f>SUM(L1321:L1372)</f>
        <v>1003</v>
      </c>
      <c r="M1320" s="312">
        <f>SUM(M1321:M1372)</f>
        <v>605310</v>
      </c>
      <c r="N1320" s="17"/>
      <c r="O1320" s="17"/>
      <c r="P1320" s="17"/>
      <c r="Q1320" s="17"/>
      <c r="R1320" s="17"/>
      <c r="S1320" s="312">
        <f>SUM(S1321:S1372)</f>
        <v>605310</v>
      </c>
      <c r="T1320" s="23"/>
      <c r="V1320" s="6">
        <f t="shared" si="257"/>
        <v>0</v>
      </c>
    </row>
    <row r="1321" spans="1:22" s="26" customFormat="1" ht="30">
      <c r="A1321" s="299">
        <v>1</v>
      </c>
      <c r="B1321" s="300" t="s">
        <v>2641</v>
      </c>
      <c r="C1321" s="315" t="s">
        <v>2636</v>
      </c>
      <c r="D1321" s="316" t="s">
        <v>26</v>
      </c>
      <c r="E1321" s="317" t="s">
        <v>149</v>
      </c>
      <c r="F1321" s="317" t="s">
        <v>2642</v>
      </c>
      <c r="G1321" s="318">
        <v>92770.873999999996</v>
      </c>
      <c r="H1321" s="318"/>
      <c r="I1321" s="318"/>
      <c r="J1321" s="318"/>
      <c r="K1321" s="318">
        <v>92770.873999999996</v>
      </c>
      <c r="L1321" s="318">
        <v>788</v>
      </c>
      <c r="M1321" s="319">
        <v>82132</v>
      </c>
      <c r="N1321" s="17"/>
      <c r="O1321" s="17"/>
      <c r="P1321" s="17"/>
      <c r="Q1321" s="17"/>
      <c r="R1321" s="17"/>
      <c r="S1321" s="319">
        <v>82132</v>
      </c>
      <c r="T1321" s="23"/>
      <c r="V1321" s="6">
        <f t="shared" si="257"/>
        <v>0</v>
      </c>
    </row>
    <row r="1322" spans="1:22" s="26" customFormat="1" ht="30">
      <c r="A1322" s="299">
        <v>2</v>
      </c>
      <c r="B1322" s="300" t="s">
        <v>2643</v>
      </c>
      <c r="C1322" s="315" t="s">
        <v>2636</v>
      </c>
      <c r="D1322" s="316" t="s">
        <v>31</v>
      </c>
      <c r="E1322" s="317" t="s">
        <v>109</v>
      </c>
      <c r="F1322" s="317" t="s">
        <v>2644</v>
      </c>
      <c r="G1322" s="318">
        <v>59675.623</v>
      </c>
      <c r="H1322" s="318"/>
      <c r="I1322" s="318"/>
      <c r="J1322" s="318"/>
      <c r="K1322" s="318">
        <v>59675.623</v>
      </c>
      <c r="L1322" s="318"/>
      <c r="M1322" s="319">
        <v>49908</v>
      </c>
      <c r="N1322" s="17"/>
      <c r="O1322" s="17"/>
      <c r="P1322" s="17"/>
      <c r="Q1322" s="17"/>
      <c r="R1322" s="17"/>
      <c r="S1322" s="319">
        <v>49908</v>
      </c>
      <c r="T1322" s="23"/>
      <c r="V1322" s="6">
        <f t="shared" si="257"/>
        <v>0</v>
      </c>
    </row>
    <row r="1323" spans="1:22" s="26" customFormat="1" ht="45">
      <c r="A1323" s="299">
        <v>3</v>
      </c>
      <c r="B1323" s="300" t="s">
        <v>2645</v>
      </c>
      <c r="C1323" s="315" t="s">
        <v>2625</v>
      </c>
      <c r="D1323" s="316" t="s">
        <v>31</v>
      </c>
      <c r="E1323" s="317" t="s">
        <v>112</v>
      </c>
      <c r="F1323" s="317" t="s">
        <v>2646</v>
      </c>
      <c r="G1323" s="318">
        <v>14641.562</v>
      </c>
      <c r="H1323" s="318"/>
      <c r="I1323" s="318"/>
      <c r="J1323" s="318"/>
      <c r="K1323" s="318">
        <v>14641.562</v>
      </c>
      <c r="L1323" s="318"/>
      <c r="M1323" s="319">
        <v>11777</v>
      </c>
      <c r="N1323" s="17"/>
      <c r="O1323" s="17"/>
      <c r="P1323" s="17"/>
      <c r="Q1323" s="17"/>
      <c r="R1323" s="17"/>
      <c r="S1323" s="319">
        <v>11777</v>
      </c>
      <c r="T1323" s="23"/>
      <c r="V1323" s="6">
        <f t="shared" si="257"/>
        <v>0</v>
      </c>
    </row>
    <row r="1324" spans="1:22" s="26" customFormat="1" ht="30">
      <c r="A1324" s="299">
        <v>4</v>
      </c>
      <c r="B1324" s="300" t="s">
        <v>2647</v>
      </c>
      <c r="C1324" s="315" t="s">
        <v>2610</v>
      </c>
      <c r="D1324" s="316" t="s">
        <v>31</v>
      </c>
      <c r="E1324" s="317" t="s">
        <v>112</v>
      </c>
      <c r="F1324" s="317" t="s">
        <v>2648</v>
      </c>
      <c r="G1324" s="318">
        <v>14994.074107</v>
      </c>
      <c r="H1324" s="318"/>
      <c r="I1324" s="318"/>
      <c r="J1324" s="318"/>
      <c r="K1324" s="318">
        <v>14994.074107</v>
      </c>
      <c r="L1324" s="318"/>
      <c r="M1324" s="319">
        <v>14500</v>
      </c>
      <c r="N1324" s="17"/>
      <c r="O1324" s="17"/>
      <c r="P1324" s="17"/>
      <c r="Q1324" s="17"/>
      <c r="R1324" s="17"/>
      <c r="S1324" s="319">
        <v>14500</v>
      </c>
      <c r="T1324" s="23"/>
      <c r="V1324" s="6">
        <f t="shared" si="257"/>
        <v>0</v>
      </c>
    </row>
    <row r="1325" spans="1:22" s="26" customFormat="1" ht="30">
      <c r="A1325" s="299">
        <v>5</v>
      </c>
      <c r="B1325" s="300" t="s">
        <v>2649</v>
      </c>
      <c r="C1325" s="315" t="s">
        <v>2613</v>
      </c>
      <c r="D1325" s="316" t="s">
        <v>31</v>
      </c>
      <c r="E1325" s="317" t="s">
        <v>112</v>
      </c>
      <c r="F1325" s="317" t="s">
        <v>2650</v>
      </c>
      <c r="G1325" s="318">
        <v>34953.61</v>
      </c>
      <c r="H1325" s="318"/>
      <c r="I1325" s="318"/>
      <c r="J1325" s="318"/>
      <c r="K1325" s="318">
        <v>34953.61</v>
      </c>
      <c r="L1325" s="318"/>
      <c r="M1325" s="319">
        <v>25040</v>
      </c>
      <c r="N1325" s="17"/>
      <c r="O1325" s="17"/>
      <c r="P1325" s="17"/>
      <c r="Q1325" s="17"/>
      <c r="R1325" s="17"/>
      <c r="S1325" s="319">
        <v>25040</v>
      </c>
      <c r="T1325" s="23"/>
      <c r="V1325" s="6">
        <f t="shared" si="257"/>
        <v>0</v>
      </c>
    </row>
    <row r="1326" spans="1:22" s="26" customFormat="1" ht="30">
      <c r="A1326" s="299">
        <v>6</v>
      </c>
      <c r="B1326" s="320" t="s">
        <v>2651</v>
      </c>
      <c r="C1326" s="315" t="s">
        <v>2607</v>
      </c>
      <c r="D1326" s="316" t="s">
        <v>31</v>
      </c>
      <c r="E1326" s="317" t="s">
        <v>112</v>
      </c>
      <c r="F1326" s="317" t="s">
        <v>2652</v>
      </c>
      <c r="G1326" s="318">
        <v>20000</v>
      </c>
      <c r="H1326" s="318"/>
      <c r="I1326" s="318"/>
      <c r="J1326" s="318"/>
      <c r="K1326" s="318">
        <v>20000</v>
      </c>
      <c r="L1326" s="318"/>
      <c r="M1326" s="319">
        <v>8030</v>
      </c>
      <c r="N1326" s="17"/>
      <c r="O1326" s="17"/>
      <c r="P1326" s="17"/>
      <c r="Q1326" s="17"/>
      <c r="R1326" s="17"/>
      <c r="S1326" s="319">
        <v>8030</v>
      </c>
      <c r="T1326" s="23"/>
      <c r="V1326" s="6">
        <f t="shared" si="257"/>
        <v>0</v>
      </c>
    </row>
    <row r="1327" spans="1:22" s="26" customFormat="1" ht="30">
      <c r="A1327" s="299">
        <v>7</v>
      </c>
      <c r="B1327" s="300" t="s">
        <v>2653</v>
      </c>
      <c r="C1327" s="315" t="s">
        <v>2607</v>
      </c>
      <c r="D1327" s="316" t="s">
        <v>26</v>
      </c>
      <c r="E1327" s="317" t="s">
        <v>2654</v>
      </c>
      <c r="F1327" s="317" t="s">
        <v>2655</v>
      </c>
      <c r="G1327" s="318">
        <v>170494</v>
      </c>
      <c r="H1327" s="318"/>
      <c r="I1327" s="318"/>
      <c r="J1327" s="318"/>
      <c r="K1327" s="318">
        <v>170494</v>
      </c>
      <c r="L1327" s="318"/>
      <c r="M1327" s="319">
        <v>25030</v>
      </c>
      <c r="N1327" s="17"/>
      <c r="O1327" s="17"/>
      <c r="P1327" s="17"/>
      <c r="Q1327" s="17"/>
      <c r="R1327" s="17"/>
      <c r="S1327" s="319">
        <v>25030</v>
      </c>
      <c r="T1327" s="23"/>
      <c r="V1327" s="6">
        <f t="shared" si="257"/>
        <v>0</v>
      </c>
    </row>
    <row r="1328" spans="1:22" s="26" customFormat="1" ht="30">
      <c r="A1328" s="299">
        <v>8</v>
      </c>
      <c r="B1328" s="300" t="s">
        <v>2656</v>
      </c>
      <c r="C1328" s="315" t="s">
        <v>2636</v>
      </c>
      <c r="D1328" s="316" t="s">
        <v>31</v>
      </c>
      <c r="E1328" s="317" t="s">
        <v>112</v>
      </c>
      <c r="F1328" s="317" t="s">
        <v>2657</v>
      </c>
      <c r="G1328" s="318">
        <v>11500</v>
      </c>
      <c r="H1328" s="318"/>
      <c r="I1328" s="318"/>
      <c r="J1328" s="318"/>
      <c r="K1328" s="318">
        <v>11500</v>
      </c>
      <c r="L1328" s="318"/>
      <c r="M1328" s="319">
        <v>5030</v>
      </c>
      <c r="N1328" s="17"/>
      <c r="O1328" s="17"/>
      <c r="P1328" s="17"/>
      <c r="Q1328" s="17"/>
      <c r="R1328" s="17"/>
      <c r="S1328" s="319">
        <v>5030</v>
      </c>
      <c r="T1328" s="23"/>
      <c r="V1328" s="6">
        <f t="shared" si="257"/>
        <v>0</v>
      </c>
    </row>
    <row r="1329" spans="1:22" s="26" customFormat="1" ht="30">
      <c r="A1329" s="299">
        <v>9</v>
      </c>
      <c r="B1329" s="300" t="s">
        <v>2658</v>
      </c>
      <c r="C1329" s="321" t="s">
        <v>2607</v>
      </c>
      <c r="D1329" s="322" t="s">
        <v>31</v>
      </c>
      <c r="E1329" s="317" t="s">
        <v>112</v>
      </c>
      <c r="F1329" s="317" t="s">
        <v>2659</v>
      </c>
      <c r="G1329" s="318">
        <v>17258.650024999999</v>
      </c>
      <c r="H1329" s="318"/>
      <c r="I1329" s="318"/>
      <c r="J1329" s="318"/>
      <c r="K1329" s="318">
        <v>17258.650024999999</v>
      </c>
      <c r="L1329" s="318"/>
      <c r="M1329" s="323">
        <v>14930</v>
      </c>
      <c r="N1329" s="17"/>
      <c r="O1329" s="17"/>
      <c r="P1329" s="17"/>
      <c r="Q1329" s="17"/>
      <c r="R1329" s="17"/>
      <c r="S1329" s="323">
        <v>14930</v>
      </c>
      <c r="T1329" s="23"/>
      <c r="V1329" s="6">
        <f t="shared" si="257"/>
        <v>0</v>
      </c>
    </row>
    <row r="1330" spans="1:22" s="26" customFormat="1" ht="45">
      <c r="A1330" s="299">
        <v>10</v>
      </c>
      <c r="B1330" s="300" t="s">
        <v>2660</v>
      </c>
      <c r="C1330" s="324" t="s">
        <v>2639</v>
      </c>
      <c r="D1330" s="325" t="s">
        <v>31</v>
      </c>
      <c r="E1330" s="317" t="s">
        <v>283</v>
      </c>
      <c r="F1330" s="317" t="s">
        <v>2661</v>
      </c>
      <c r="G1330" s="318">
        <v>11296.558000000001</v>
      </c>
      <c r="H1330" s="318"/>
      <c r="I1330" s="318"/>
      <c r="J1330" s="318"/>
      <c r="K1330" s="318">
        <v>11296.558000000001</v>
      </c>
      <c r="L1330" s="318"/>
      <c r="M1330" s="326">
        <v>10415</v>
      </c>
      <c r="N1330" s="17"/>
      <c r="O1330" s="17"/>
      <c r="P1330" s="17"/>
      <c r="Q1330" s="17"/>
      <c r="R1330" s="17"/>
      <c r="S1330" s="326">
        <v>10415</v>
      </c>
      <c r="T1330" s="23"/>
      <c r="V1330" s="6">
        <f t="shared" si="257"/>
        <v>0</v>
      </c>
    </row>
    <row r="1331" spans="1:22" s="26" customFormat="1" ht="30">
      <c r="A1331" s="299">
        <v>11</v>
      </c>
      <c r="B1331" s="300" t="s">
        <v>2662</v>
      </c>
      <c r="C1331" s="327" t="s">
        <v>2663</v>
      </c>
      <c r="D1331" s="328" t="s">
        <v>31</v>
      </c>
      <c r="E1331" s="317" t="s">
        <v>109</v>
      </c>
      <c r="F1331" s="317" t="s">
        <v>2664</v>
      </c>
      <c r="G1331" s="318">
        <v>21469.054</v>
      </c>
      <c r="H1331" s="318"/>
      <c r="I1331" s="318"/>
      <c r="J1331" s="318"/>
      <c r="K1331" s="318">
        <v>21469.054</v>
      </c>
      <c r="L1331" s="318">
        <v>177</v>
      </c>
      <c r="M1331" s="329">
        <v>19297</v>
      </c>
      <c r="N1331" s="17"/>
      <c r="O1331" s="17"/>
      <c r="P1331" s="17"/>
      <c r="Q1331" s="17"/>
      <c r="R1331" s="17"/>
      <c r="S1331" s="329">
        <v>19297</v>
      </c>
      <c r="T1331" s="23"/>
      <c r="V1331" s="6">
        <f t="shared" si="257"/>
        <v>0</v>
      </c>
    </row>
    <row r="1332" spans="1:22" s="26" customFormat="1" ht="30">
      <c r="A1332" s="299">
        <v>12</v>
      </c>
      <c r="B1332" s="300" t="s">
        <v>2665</v>
      </c>
      <c r="C1332" s="327" t="s">
        <v>2616</v>
      </c>
      <c r="D1332" s="328" t="s">
        <v>31</v>
      </c>
      <c r="E1332" s="317" t="s">
        <v>109</v>
      </c>
      <c r="F1332" s="317" t="s">
        <v>2666</v>
      </c>
      <c r="G1332" s="318">
        <v>1732.3440000000001</v>
      </c>
      <c r="H1332" s="318"/>
      <c r="I1332" s="318"/>
      <c r="J1332" s="318"/>
      <c r="K1332" s="318">
        <v>1732.3440000000001</v>
      </c>
      <c r="L1332" s="318">
        <v>38</v>
      </c>
      <c r="M1332" s="329">
        <v>1462</v>
      </c>
      <c r="N1332" s="17"/>
      <c r="O1332" s="17"/>
      <c r="P1332" s="17"/>
      <c r="Q1332" s="17"/>
      <c r="R1332" s="17"/>
      <c r="S1332" s="329">
        <v>1462</v>
      </c>
      <c r="T1332" s="23"/>
      <c r="V1332" s="6">
        <f t="shared" si="257"/>
        <v>0</v>
      </c>
    </row>
    <row r="1333" spans="1:22" s="26" customFormat="1" ht="30">
      <c r="A1333" s="299">
        <v>13</v>
      </c>
      <c r="B1333" s="330" t="s">
        <v>2667</v>
      </c>
      <c r="C1333" s="324" t="s">
        <v>2639</v>
      </c>
      <c r="D1333" s="328" t="s">
        <v>31</v>
      </c>
      <c r="E1333" s="317" t="s">
        <v>112</v>
      </c>
      <c r="F1333" s="317" t="s">
        <v>2668</v>
      </c>
      <c r="G1333" s="318">
        <v>6711.7950000000001</v>
      </c>
      <c r="H1333" s="318"/>
      <c r="I1333" s="318"/>
      <c r="J1333" s="318"/>
      <c r="K1333" s="318">
        <v>6711.7950000000001</v>
      </c>
      <c r="L1333" s="318"/>
      <c r="M1333" s="329">
        <v>3460</v>
      </c>
      <c r="N1333" s="17"/>
      <c r="O1333" s="17"/>
      <c r="P1333" s="17"/>
      <c r="Q1333" s="17"/>
      <c r="R1333" s="17"/>
      <c r="S1333" s="329">
        <v>3460</v>
      </c>
      <c r="T1333" s="23"/>
      <c r="V1333" s="6">
        <f t="shared" si="257"/>
        <v>0</v>
      </c>
    </row>
    <row r="1334" spans="1:22" s="26" customFormat="1" ht="30">
      <c r="A1334" s="299">
        <v>14</v>
      </c>
      <c r="B1334" s="300" t="s">
        <v>2669</v>
      </c>
      <c r="C1334" s="324" t="s">
        <v>2639</v>
      </c>
      <c r="D1334" s="328" t="s">
        <v>31</v>
      </c>
      <c r="E1334" s="317" t="s">
        <v>112</v>
      </c>
      <c r="F1334" s="317" t="s">
        <v>2670</v>
      </c>
      <c r="G1334" s="318">
        <v>20000</v>
      </c>
      <c r="H1334" s="318"/>
      <c r="I1334" s="318"/>
      <c r="J1334" s="318"/>
      <c r="K1334" s="318">
        <v>20000</v>
      </c>
      <c r="L1334" s="318"/>
      <c r="M1334" s="329">
        <v>6325</v>
      </c>
      <c r="N1334" s="17"/>
      <c r="O1334" s="17"/>
      <c r="P1334" s="17"/>
      <c r="Q1334" s="17"/>
      <c r="R1334" s="17"/>
      <c r="S1334" s="329">
        <v>6325</v>
      </c>
      <c r="T1334" s="23"/>
      <c r="V1334" s="6">
        <f t="shared" si="257"/>
        <v>0</v>
      </c>
    </row>
    <row r="1335" spans="1:22" s="26" customFormat="1" ht="30">
      <c r="A1335" s="299">
        <v>15</v>
      </c>
      <c r="B1335" s="300" t="s">
        <v>2671</v>
      </c>
      <c r="C1335" s="324" t="s">
        <v>2607</v>
      </c>
      <c r="D1335" s="328" t="s">
        <v>31</v>
      </c>
      <c r="E1335" s="317" t="s">
        <v>112</v>
      </c>
      <c r="F1335" s="317" t="s">
        <v>2672</v>
      </c>
      <c r="G1335" s="318">
        <v>70719.751000000004</v>
      </c>
      <c r="H1335" s="318"/>
      <c r="I1335" s="318"/>
      <c r="J1335" s="318"/>
      <c r="K1335" s="318">
        <v>70719.751000000004</v>
      </c>
      <c r="L1335" s="318"/>
      <c r="M1335" s="329">
        <v>22017</v>
      </c>
      <c r="N1335" s="17"/>
      <c r="O1335" s="17"/>
      <c r="P1335" s="17"/>
      <c r="Q1335" s="17"/>
      <c r="R1335" s="17"/>
      <c r="S1335" s="329">
        <v>22017</v>
      </c>
      <c r="T1335" s="23"/>
      <c r="V1335" s="6">
        <f t="shared" si="257"/>
        <v>0</v>
      </c>
    </row>
    <row r="1336" spans="1:22" s="26" customFormat="1" ht="30">
      <c r="A1336" s="299">
        <v>16</v>
      </c>
      <c r="B1336" s="300" t="s">
        <v>2673</v>
      </c>
      <c r="C1336" s="324" t="s">
        <v>2663</v>
      </c>
      <c r="D1336" s="328" t="s">
        <v>31</v>
      </c>
      <c r="E1336" s="317" t="s">
        <v>112</v>
      </c>
      <c r="F1336" s="317" t="s">
        <v>2674</v>
      </c>
      <c r="G1336" s="318">
        <v>57032.608</v>
      </c>
      <c r="H1336" s="318"/>
      <c r="I1336" s="318"/>
      <c r="J1336" s="318"/>
      <c r="K1336" s="318">
        <v>57032.608</v>
      </c>
      <c r="L1336" s="318"/>
      <c r="M1336" s="329">
        <v>17982</v>
      </c>
      <c r="N1336" s="17"/>
      <c r="O1336" s="17"/>
      <c r="P1336" s="17"/>
      <c r="Q1336" s="17"/>
      <c r="R1336" s="17"/>
      <c r="S1336" s="329">
        <v>17982</v>
      </c>
      <c r="T1336" s="23"/>
      <c r="V1336" s="6">
        <f t="shared" si="257"/>
        <v>0</v>
      </c>
    </row>
    <row r="1337" spans="1:22" s="26" customFormat="1" ht="30">
      <c r="A1337" s="299">
        <v>17</v>
      </c>
      <c r="B1337" s="300" t="s">
        <v>2675</v>
      </c>
      <c r="C1337" s="327" t="s">
        <v>2636</v>
      </c>
      <c r="D1337" s="328" t="s">
        <v>31</v>
      </c>
      <c r="E1337" s="317" t="s">
        <v>112</v>
      </c>
      <c r="F1337" s="317" t="s">
        <v>2676</v>
      </c>
      <c r="G1337" s="318">
        <v>22599.746999999999</v>
      </c>
      <c r="H1337" s="318"/>
      <c r="I1337" s="318"/>
      <c r="J1337" s="318"/>
      <c r="K1337" s="318">
        <v>22599.746999999999</v>
      </c>
      <c r="L1337" s="318"/>
      <c r="M1337" s="329">
        <v>21700</v>
      </c>
      <c r="N1337" s="17"/>
      <c r="O1337" s="17"/>
      <c r="P1337" s="17"/>
      <c r="Q1337" s="17"/>
      <c r="R1337" s="17"/>
      <c r="S1337" s="329">
        <v>21700</v>
      </c>
      <c r="T1337" s="23"/>
      <c r="V1337" s="6">
        <f t="shared" si="257"/>
        <v>0</v>
      </c>
    </row>
    <row r="1338" spans="1:22" s="26" customFormat="1" ht="30">
      <c r="A1338" s="299">
        <v>18</v>
      </c>
      <c r="B1338" s="300" t="s">
        <v>2677</v>
      </c>
      <c r="C1338" s="327" t="s">
        <v>2616</v>
      </c>
      <c r="D1338" s="328" t="s">
        <v>31</v>
      </c>
      <c r="E1338" s="317" t="s">
        <v>112</v>
      </c>
      <c r="F1338" s="317" t="s">
        <v>2678</v>
      </c>
      <c r="G1338" s="318">
        <v>14409.931</v>
      </c>
      <c r="H1338" s="318"/>
      <c r="I1338" s="318"/>
      <c r="J1338" s="318"/>
      <c r="K1338" s="318">
        <v>14409.931</v>
      </c>
      <c r="L1338" s="318"/>
      <c r="M1338" s="329">
        <v>14395</v>
      </c>
      <c r="N1338" s="17"/>
      <c r="O1338" s="17"/>
      <c r="P1338" s="17"/>
      <c r="Q1338" s="17"/>
      <c r="R1338" s="17"/>
      <c r="S1338" s="329">
        <v>14395</v>
      </c>
      <c r="T1338" s="23"/>
      <c r="V1338" s="6">
        <f t="shared" si="257"/>
        <v>0</v>
      </c>
    </row>
    <row r="1339" spans="1:22" s="26" customFormat="1" ht="45">
      <c r="A1339" s="299">
        <v>19</v>
      </c>
      <c r="B1339" s="300" t="s">
        <v>2679</v>
      </c>
      <c r="C1339" s="327" t="s">
        <v>2625</v>
      </c>
      <c r="D1339" s="328" t="s">
        <v>31</v>
      </c>
      <c r="E1339" s="317" t="s">
        <v>112</v>
      </c>
      <c r="F1339" s="317" t="s">
        <v>2680</v>
      </c>
      <c r="G1339" s="318">
        <v>15868.969881999999</v>
      </c>
      <c r="H1339" s="318"/>
      <c r="I1339" s="318"/>
      <c r="J1339" s="318"/>
      <c r="K1339" s="318">
        <v>15868.969881999999</v>
      </c>
      <c r="L1339" s="318"/>
      <c r="M1339" s="329">
        <v>13347</v>
      </c>
      <c r="N1339" s="17"/>
      <c r="O1339" s="17"/>
      <c r="P1339" s="17"/>
      <c r="Q1339" s="17"/>
      <c r="R1339" s="17"/>
      <c r="S1339" s="329">
        <v>13347</v>
      </c>
      <c r="T1339" s="23"/>
      <c r="V1339" s="6">
        <f t="shared" si="257"/>
        <v>0</v>
      </c>
    </row>
    <row r="1340" spans="1:22" s="26" customFormat="1" ht="45">
      <c r="A1340" s="299">
        <v>20</v>
      </c>
      <c r="B1340" s="300" t="s">
        <v>2681</v>
      </c>
      <c r="C1340" s="327" t="s">
        <v>2625</v>
      </c>
      <c r="D1340" s="328" t="s">
        <v>31</v>
      </c>
      <c r="E1340" s="317" t="s">
        <v>55</v>
      </c>
      <c r="F1340" s="317" t="s">
        <v>2682</v>
      </c>
      <c r="G1340" s="318">
        <v>5334.035715</v>
      </c>
      <c r="H1340" s="318"/>
      <c r="I1340" s="318"/>
      <c r="J1340" s="318"/>
      <c r="K1340" s="318">
        <v>5334.035715</v>
      </c>
      <c r="L1340" s="318"/>
      <c r="M1340" s="329">
        <v>4962</v>
      </c>
      <c r="N1340" s="17"/>
      <c r="O1340" s="17"/>
      <c r="P1340" s="17"/>
      <c r="Q1340" s="17"/>
      <c r="R1340" s="17"/>
      <c r="S1340" s="329">
        <v>4962</v>
      </c>
      <c r="T1340" s="23"/>
      <c r="V1340" s="6">
        <f t="shared" si="257"/>
        <v>0</v>
      </c>
    </row>
    <row r="1341" spans="1:22" s="26" customFormat="1" ht="30">
      <c r="A1341" s="299">
        <v>21</v>
      </c>
      <c r="B1341" s="300" t="s">
        <v>2683</v>
      </c>
      <c r="C1341" s="324" t="s">
        <v>2639</v>
      </c>
      <c r="D1341" s="328" t="s">
        <v>31</v>
      </c>
      <c r="E1341" s="324" t="s">
        <v>55</v>
      </c>
      <c r="F1341" s="331" t="s">
        <v>2684</v>
      </c>
      <c r="G1341" s="332">
        <v>23486.186588</v>
      </c>
      <c r="H1341" s="332"/>
      <c r="I1341" s="332"/>
      <c r="J1341" s="332"/>
      <c r="K1341" s="332">
        <v>23486.186588</v>
      </c>
      <c r="L1341" s="333"/>
      <c r="M1341" s="329">
        <v>17540</v>
      </c>
      <c r="N1341" s="17"/>
      <c r="O1341" s="17"/>
      <c r="P1341" s="17"/>
      <c r="Q1341" s="17"/>
      <c r="R1341" s="17"/>
      <c r="S1341" s="329">
        <v>17540</v>
      </c>
      <c r="T1341" s="23"/>
      <c r="V1341" s="6">
        <f t="shared" si="257"/>
        <v>0</v>
      </c>
    </row>
    <row r="1342" spans="1:22" s="26" customFormat="1" ht="30">
      <c r="A1342" s="299">
        <v>22</v>
      </c>
      <c r="B1342" s="334" t="s">
        <v>2685</v>
      </c>
      <c r="C1342" s="324" t="s">
        <v>2633</v>
      </c>
      <c r="D1342" s="328" t="s">
        <v>31</v>
      </c>
      <c r="E1342" s="317" t="s">
        <v>283</v>
      </c>
      <c r="F1342" s="317" t="s">
        <v>2686</v>
      </c>
      <c r="G1342" s="318">
        <v>3952.4810000000002</v>
      </c>
      <c r="H1342" s="318"/>
      <c r="I1342" s="318"/>
      <c r="J1342" s="318"/>
      <c r="K1342" s="318">
        <v>3952.4810000000002</v>
      </c>
      <c r="L1342" s="318"/>
      <c r="M1342" s="329">
        <v>3830</v>
      </c>
      <c r="N1342" s="17"/>
      <c r="O1342" s="17"/>
      <c r="P1342" s="17"/>
      <c r="Q1342" s="17"/>
      <c r="R1342" s="17"/>
      <c r="S1342" s="329">
        <v>3830</v>
      </c>
      <c r="T1342" s="23"/>
      <c r="V1342" s="6">
        <f t="shared" si="257"/>
        <v>0</v>
      </c>
    </row>
    <row r="1343" spans="1:22" s="26" customFormat="1" ht="30">
      <c r="A1343" s="299">
        <v>23</v>
      </c>
      <c r="B1343" s="335" t="s">
        <v>2687</v>
      </c>
      <c r="C1343" s="324" t="s">
        <v>2607</v>
      </c>
      <c r="D1343" s="328" t="s">
        <v>31</v>
      </c>
      <c r="E1343" s="317" t="s">
        <v>1314</v>
      </c>
      <c r="F1343" s="317" t="s">
        <v>2688</v>
      </c>
      <c r="G1343" s="318">
        <v>29775.325947000001</v>
      </c>
      <c r="H1343" s="318"/>
      <c r="I1343" s="318"/>
      <c r="J1343" s="318"/>
      <c r="K1343" s="318">
        <v>29775.325947000001</v>
      </c>
      <c r="L1343" s="318"/>
      <c r="M1343" s="329">
        <v>7500</v>
      </c>
      <c r="N1343" s="17"/>
      <c r="O1343" s="17"/>
      <c r="P1343" s="17"/>
      <c r="Q1343" s="17"/>
      <c r="R1343" s="17"/>
      <c r="S1343" s="329">
        <v>7500</v>
      </c>
      <c r="T1343" s="23"/>
      <c r="V1343" s="6">
        <f t="shared" si="257"/>
        <v>0</v>
      </c>
    </row>
    <row r="1344" spans="1:22" s="26" customFormat="1" ht="30">
      <c r="A1344" s="299">
        <v>24</v>
      </c>
      <c r="B1344" s="300" t="s">
        <v>2689</v>
      </c>
      <c r="C1344" s="324" t="s">
        <v>2628</v>
      </c>
      <c r="D1344" s="328" t="s">
        <v>31</v>
      </c>
      <c r="E1344" s="317" t="s">
        <v>1314</v>
      </c>
      <c r="F1344" s="317" t="s">
        <v>2690</v>
      </c>
      <c r="G1344" s="318">
        <v>7479.8280000000004</v>
      </c>
      <c r="H1344" s="318"/>
      <c r="I1344" s="318"/>
      <c r="J1344" s="318"/>
      <c r="K1344" s="318">
        <v>7479.8280000000004</v>
      </c>
      <c r="L1344" s="318"/>
      <c r="M1344" s="329">
        <v>7000</v>
      </c>
      <c r="N1344" s="17"/>
      <c r="O1344" s="17"/>
      <c r="P1344" s="17"/>
      <c r="Q1344" s="17"/>
      <c r="R1344" s="17"/>
      <c r="S1344" s="329">
        <v>7000</v>
      </c>
      <c r="T1344" s="23"/>
      <c r="V1344" s="6">
        <f t="shared" si="257"/>
        <v>0</v>
      </c>
    </row>
    <row r="1345" spans="1:22" s="26" customFormat="1" ht="30">
      <c r="A1345" s="299">
        <v>25</v>
      </c>
      <c r="B1345" s="300" t="s">
        <v>2691</v>
      </c>
      <c r="C1345" s="324" t="s">
        <v>2622</v>
      </c>
      <c r="D1345" s="328" t="s">
        <v>31</v>
      </c>
      <c r="E1345" s="317" t="s">
        <v>1314</v>
      </c>
      <c r="F1345" s="317" t="s">
        <v>2692</v>
      </c>
      <c r="G1345" s="318">
        <v>14637.617</v>
      </c>
      <c r="H1345" s="318"/>
      <c r="I1345" s="318"/>
      <c r="J1345" s="318"/>
      <c r="K1345" s="318">
        <v>14637.617</v>
      </c>
      <c r="L1345" s="318"/>
      <c r="M1345" s="329">
        <v>12500</v>
      </c>
      <c r="N1345" s="17"/>
      <c r="O1345" s="17"/>
      <c r="P1345" s="17"/>
      <c r="Q1345" s="17"/>
      <c r="R1345" s="17"/>
      <c r="S1345" s="329">
        <v>12500</v>
      </c>
      <c r="T1345" s="23"/>
      <c r="V1345" s="6">
        <f t="shared" si="257"/>
        <v>0</v>
      </c>
    </row>
    <row r="1346" spans="1:22" s="26" customFormat="1" ht="30">
      <c r="A1346" s="299">
        <v>26</v>
      </c>
      <c r="B1346" s="300" t="s">
        <v>2693</v>
      </c>
      <c r="C1346" s="327" t="s">
        <v>2622</v>
      </c>
      <c r="D1346" s="328" t="s">
        <v>31</v>
      </c>
      <c r="E1346" s="317" t="s">
        <v>1314</v>
      </c>
      <c r="F1346" s="317" t="s">
        <v>2694</v>
      </c>
      <c r="G1346" s="318">
        <v>4390.0298460000004</v>
      </c>
      <c r="H1346" s="318"/>
      <c r="I1346" s="318"/>
      <c r="J1346" s="318"/>
      <c r="K1346" s="318">
        <v>4390.0298460000004</v>
      </c>
      <c r="L1346" s="318"/>
      <c r="M1346" s="329">
        <v>4200</v>
      </c>
      <c r="N1346" s="17"/>
      <c r="O1346" s="17"/>
      <c r="P1346" s="17"/>
      <c r="Q1346" s="17"/>
      <c r="R1346" s="17"/>
      <c r="S1346" s="329">
        <v>4200</v>
      </c>
      <c r="T1346" s="23"/>
      <c r="V1346" s="6">
        <f t="shared" si="257"/>
        <v>0</v>
      </c>
    </row>
    <row r="1347" spans="1:22" s="26" customFormat="1" ht="30">
      <c r="A1347" s="299">
        <v>27</v>
      </c>
      <c r="B1347" s="300" t="s">
        <v>2695</v>
      </c>
      <c r="C1347" s="327" t="s">
        <v>2613</v>
      </c>
      <c r="D1347" s="328" t="s">
        <v>31</v>
      </c>
      <c r="E1347" s="317" t="s">
        <v>1314</v>
      </c>
      <c r="F1347" s="317" t="s">
        <v>2696</v>
      </c>
      <c r="G1347" s="318">
        <v>4445.8069999999998</v>
      </c>
      <c r="H1347" s="318"/>
      <c r="I1347" s="318"/>
      <c r="J1347" s="318"/>
      <c r="K1347" s="318">
        <v>4445.8069999999998</v>
      </c>
      <c r="L1347" s="318"/>
      <c r="M1347" s="329">
        <v>4500</v>
      </c>
      <c r="N1347" s="17"/>
      <c r="O1347" s="17"/>
      <c r="P1347" s="17"/>
      <c r="Q1347" s="17"/>
      <c r="R1347" s="17"/>
      <c r="S1347" s="329">
        <v>4500</v>
      </c>
      <c r="T1347" s="23"/>
      <c r="V1347" s="6">
        <f t="shared" si="257"/>
        <v>0</v>
      </c>
    </row>
    <row r="1348" spans="1:22" s="26" customFormat="1" ht="30">
      <c r="A1348" s="299">
        <v>28</v>
      </c>
      <c r="B1348" s="300" t="s">
        <v>2697</v>
      </c>
      <c r="C1348" s="327" t="s">
        <v>2619</v>
      </c>
      <c r="D1348" s="328" t="s">
        <v>31</v>
      </c>
      <c r="E1348" s="317" t="s">
        <v>1314</v>
      </c>
      <c r="F1348" s="317" t="s">
        <v>2698</v>
      </c>
      <c r="G1348" s="318">
        <v>4493.5309999999999</v>
      </c>
      <c r="H1348" s="318"/>
      <c r="I1348" s="318"/>
      <c r="J1348" s="318"/>
      <c r="K1348" s="318">
        <v>4493.5309999999999</v>
      </c>
      <c r="L1348" s="318"/>
      <c r="M1348" s="329">
        <v>4500</v>
      </c>
      <c r="N1348" s="17"/>
      <c r="O1348" s="17"/>
      <c r="P1348" s="17"/>
      <c r="Q1348" s="17"/>
      <c r="R1348" s="17"/>
      <c r="S1348" s="329">
        <v>4500</v>
      </c>
      <c r="T1348" s="23"/>
      <c r="V1348" s="6">
        <f t="shared" si="257"/>
        <v>0</v>
      </c>
    </row>
    <row r="1349" spans="1:22" s="26" customFormat="1" ht="30">
      <c r="A1349" s="299">
        <v>29</v>
      </c>
      <c r="B1349" s="300" t="s">
        <v>2699</v>
      </c>
      <c r="C1349" s="327" t="s">
        <v>2625</v>
      </c>
      <c r="D1349" s="328" t="s">
        <v>31</v>
      </c>
      <c r="E1349" s="317" t="s">
        <v>1314</v>
      </c>
      <c r="F1349" s="317" t="s">
        <v>2700</v>
      </c>
      <c r="G1349" s="318">
        <v>6456.1822990000001</v>
      </c>
      <c r="H1349" s="318"/>
      <c r="I1349" s="318"/>
      <c r="J1349" s="318"/>
      <c r="K1349" s="318">
        <v>6456.1822990000001</v>
      </c>
      <c r="L1349" s="318"/>
      <c r="M1349" s="329">
        <v>5800</v>
      </c>
      <c r="N1349" s="17"/>
      <c r="O1349" s="17"/>
      <c r="P1349" s="17"/>
      <c r="Q1349" s="17"/>
      <c r="R1349" s="17"/>
      <c r="S1349" s="329">
        <v>5800</v>
      </c>
      <c r="T1349" s="23"/>
      <c r="V1349" s="6">
        <f t="shared" si="257"/>
        <v>0</v>
      </c>
    </row>
    <row r="1350" spans="1:22" s="26" customFormat="1" ht="30">
      <c r="A1350" s="299">
        <v>30</v>
      </c>
      <c r="B1350" s="300" t="s">
        <v>2701</v>
      </c>
      <c r="C1350" s="327" t="s">
        <v>2628</v>
      </c>
      <c r="D1350" s="328" t="s">
        <v>31</v>
      </c>
      <c r="E1350" s="317" t="s">
        <v>1314</v>
      </c>
      <c r="F1350" s="317" t="s">
        <v>2702</v>
      </c>
      <c r="G1350" s="318">
        <v>7245.1109999999999</v>
      </c>
      <c r="H1350" s="318"/>
      <c r="I1350" s="318"/>
      <c r="J1350" s="318"/>
      <c r="K1350" s="318">
        <v>7245.1109999999999</v>
      </c>
      <c r="L1350" s="318"/>
      <c r="M1350" s="329">
        <v>7000</v>
      </c>
      <c r="N1350" s="17"/>
      <c r="O1350" s="17"/>
      <c r="P1350" s="17"/>
      <c r="Q1350" s="17"/>
      <c r="R1350" s="17"/>
      <c r="S1350" s="329">
        <v>7000</v>
      </c>
      <c r="T1350" s="23"/>
      <c r="V1350" s="6">
        <f t="shared" si="257"/>
        <v>0</v>
      </c>
    </row>
    <row r="1351" spans="1:22" s="26" customFormat="1" ht="30">
      <c r="A1351" s="299">
        <v>31</v>
      </c>
      <c r="B1351" s="300" t="s">
        <v>2703</v>
      </c>
      <c r="C1351" s="327" t="s">
        <v>2639</v>
      </c>
      <c r="D1351" s="328" t="s">
        <v>31</v>
      </c>
      <c r="E1351" s="317" t="s">
        <v>1314</v>
      </c>
      <c r="F1351" s="331" t="s">
        <v>2704</v>
      </c>
      <c r="G1351" s="332">
        <v>25403.794051000001</v>
      </c>
      <c r="H1351" s="332"/>
      <c r="I1351" s="332"/>
      <c r="J1351" s="332"/>
      <c r="K1351" s="332">
        <v>25403.794051000001</v>
      </c>
      <c r="L1351" s="333"/>
      <c r="M1351" s="329">
        <v>23239</v>
      </c>
      <c r="N1351" s="17"/>
      <c r="O1351" s="17"/>
      <c r="P1351" s="17"/>
      <c r="Q1351" s="17"/>
      <c r="R1351" s="17"/>
      <c r="S1351" s="329">
        <v>23239</v>
      </c>
      <c r="T1351" s="23"/>
      <c r="V1351" s="6">
        <f t="shared" si="257"/>
        <v>0</v>
      </c>
    </row>
    <row r="1352" spans="1:22" s="26" customFormat="1" ht="30">
      <c r="A1352" s="299">
        <v>32</v>
      </c>
      <c r="B1352" s="300" t="s">
        <v>2705</v>
      </c>
      <c r="C1352" s="336" t="s">
        <v>2616</v>
      </c>
      <c r="D1352" s="337" t="s">
        <v>31</v>
      </c>
      <c r="E1352" s="317" t="s">
        <v>112</v>
      </c>
      <c r="F1352" s="317" t="s">
        <v>2706</v>
      </c>
      <c r="G1352" s="318">
        <v>16458.239000000001</v>
      </c>
      <c r="H1352" s="318"/>
      <c r="I1352" s="318"/>
      <c r="J1352" s="318"/>
      <c r="K1352" s="318">
        <v>16458.239000000001</v>
      </c>
      <c r="L1352" s="318"/>
      <c r="M1352" s="338">
        <v>15250</v>
      </c>
      <c r="N1352" s="17"/>
      <c r="O1352" s="17"/>
      <c r="P1352" s="17"/>
      <c r="Q1352" s="17"/>
      <c r="R1352" s="17"/>
      <c r="S1352" s="338">
        <v>15250</v>
      </c>
      <c r="T1352" s="23"/>
      <c r="V1352" s="6">
        <f t="shared" si="257"/>
        <v>0</v>
      </c>
    </row>
    <row r="1353" spans="1:22" s="26" customFormat="1" ht="30">
      <c r="A1353" s="299">
        <v>33</v>
      </c>
      <c r="B1353" s="300" t="s">
        <v>2707</v>
      </c>
      <c r="C1353" s="336" t="s">
        <v>2628</v>
      </c>
      <c r="D1353" s="337" t="s">
        <v>31</v>
      </c>
      <c r="E1353" s="317" t="s">
        <v>112</v>
      </c>
      <c r="F1353" s="317" t="s">
        <v>2708</v>
      </c>
      <c r="G1353" s="318">
        <v>14446.001393</v>
      </c>
      <c r="H1353" s="318"/>
      <c r="I1353" s="318"/>
      <c r="J1353" s="318"/>
      <c r="K1353" s="318">
        <v>14446.001393</v>
      </c>
      <c r="L1353" s="318"/>
      <c r="M1353" s="338">
        <v>12100</v>
      </c>
      <c r="N1353" s="17"/>
      <c r="O1353" s="17"/>
      <c r="P1353" s="17"/>
      <c r="Q1353" s="17"/>
      <c r="R1353" s="17"/>
      <c r="S1353" s="338">
        <v>12100</v>
      </c>
      <c r="T1353" s="23"/>
      <c r="V1353" s="6">
        <f t="shared" si="257"/>
        <v>0</v>
      </c>
    </row>
    <row r="1354" spans="1:22" s="26" customFormat="1" ht="30">
      <c r="A1354" s="299">
        <v>34</v>
      </c>
      <c r="B1354" s="300" t="s">
        <v>2709</v>
      </c>
      <c r="C1354" s="336" t="s">
        <v>2619</v>
      </c>
      <c r="D1354" s="337" t="s">
        <v>31</v>
      </c>
      <c r="E1354" s="317" t="s">
        <v>112</v>
      </c>
      <c r="F1354" s="317" t="s">
        <v>2710</v>
      </c>
      <c r="G1354" s="318">
        <v>16806.859079999998</v>
      </c>
      <c r="H1354" s="318"/>
      <c r="I1354" s="318"/>
      <c r="J1354" s="318"/>
      <c r="K1354" s="318">
        <v>16806.859079999998</v>
      </c>
      <c r="L1354" s="318"/>
      <c r="M1354" s="338">
        <v>13724</v>
      </c>
      <c r="N1354" s="17"/>
      <c r="O1354" s="17"/>
      <c r="P1354" s="17"/>
      <c r="Q1354" s="17"/>
      <c r="R1354" s="17"/>
      <c r="S1354" s="338">
        <v>13724</v>
      </c>
      <c r="T1354" s="23"/>
      <c r="V1354" s="6">
        <f t="shared" si="257"/>
        <v>0</v>
      </c>
    </row>
    <row r="1355" spans="1:22" s="26" customFormat="1" ht="30">
      <c r="A1355" s="299">
        <v>35</v>
      </c>
      <c r="B1355" s="300" t="s">
        <v>2711</v>
      </c>
      <c r="C1355" s="336" t="s">
        <v>2622</v>
      </c>
      <c r="D1355" s="337" t="s">
        <v>31</v>
      </c>
      <c r="E1355" s="317" t="s">
        <v>112</v>
      </c>
      <c r="F1355" s="317" t="s">
        <v>2712</v>
      </c>
      <c r="G1355" s="318">
        <v>17390.819490999998</v>
      </c>
      <c r="H1355" s="318"/>
      <c r="I1355" s="318"/>
      <c r="J1355" s="318"/>
      <c r="K1355" s="318">
        <v>17390.819490999998</v>
      </c>
      <c r="L1355" s="318"/>
      <c r="M1355" s="338">
        <v>15700</v>
      </c>
      <c r="N1355" s="17"/>
      <c r="O1355" s="17"/>
      <c r="P1355" s="17"/>
      <c r="Q1355" s="17"/>
      <c r="R1355" s="17"/>
      <c r="S1355" s="338">
        <v>15700</v>
      </c>
      <c r="T1355" s="23"/>
      <c r="V1355" s="6">
        <f t="shared" si="257"/>
        <v>0</v>
      </c>
    </row>
    <row r="1356" spans="1:22" s="26" customFormat="1" ht="30">
      <c r="A1356" s="299">
        <v>36</v>
      </c>
      <c r="B1356" s="300" t="s">
        <v>2713</v>
      </c>
      <c r="C1356" s="336" t="s">
        <v>2625</v>
      </c>
      <c r="D1356" s="337" t="s">
        <v>31</v>
      </c>
      <c r="E1356" s="317" t="s">
        <v>112</v>
      </c>
      <c r="F1356" s="317" t="s">
        <v>2714</v>
      </c>
      <c r="G1356" s="318">
        <v>14919.603947</v>
      </c>
      <c r="H1356" s="318"/>
      <c r="I1356" s="318"/>
      <c r="J1356" s="318"/>
      <c r="K1356" s="318">
        <v>14919.603947</v>
      </c>
      <c r="L1356" s="318"/>
      <c r="M1356" s="338">
        <v>13600</v>
      </c>
      <c r="N1356" s="17"/>
      <c r="O1356" s="17"/>
      <c r="P1356" s="17"/>
      <c r="Q1356" s="17"/>
      <c r="R1356" s="17"/>
      <c r="S1356" s="338">
        <v>13600</v>
      </c>
      <c r="T1356" s="23"/>
      <c r="V1356" s="6">
        <f t="shared" si="257"/>
        <v>0</v>
      </c>
    </row>
    <row r="1357" spans="1:22" s="26" customFormat="1" ht="30">
      <c r="A1357" s="299">
        <v>37</v>
      </c>
      <c r="B1357" s="300" t="s">
        <v>2715</v>
      </c>
      <c r="C1357" s="336" t="s">
        <v>2607</v>
      </c>
      <c r="D1357" s="337" t="s">
        <v>31</v>
      </c>
      <c r="E1357" s="317" t="s">
        <v>55</v>
      </c>
      <c r="F1357" s="317" t="s">
        <v>2716</v>
      </c>
      <c r="G1357" s="318">
        <v>1735.623789</v>
      </c>
      <c r="H1357" s="318"/>
      <c r="I1357" s="318"/>
      <c r="J1357" s="318"/>
      <c r="K1357" s="318">
        <v>1735.623789</v>
      </c>
      <c r="L1357" s="333"/>
      <c r="M1357" s="338">
        <v>1736</v>
      </c>
      <c r="N1357" s="17"/>
      <c r="O1357" s="17"/>
      <c r="P1357" s="17"/>
      <c r="Q1357" s="17"/>
      <c r="R1357" s="17"/>
      <c r="S1357" s="338">
        <v>1736</v>
      </c>
      <c r="T1357" s="23"/>
      <c r="V1357" s="6">
        <f t="shared" si="257"/>
        <v>0</v>
      </c>
    </row>
    <row r="1358" spans="1:22" s="26" customFormat="1" ht="30">
      <c r="A1358" s="299">
        <v>38</v>
      </c>
      <c r="B1358" s="300" t="s">
        <v>2717</v>
      </c>
      <c r="C1358" s="339" t="s">
        <v>2633</v>
      </c>
      <c r="D1358" s="340" t="s">
        <v>31</v>
      </c>
      <c r="E1358" s="317" t="s">
        <v>112</v>
      </c>
      <c r="F1358" s="317" t="s">
        <v>2718</v>
      </c>
      <c r="G1358" s="318">
        <v>1481.420607</v>
      </c>
      <c r="H1358" s="318"/>
      <c r="I1358" s="318"/>
      <c r="J1358" s="318"/>
      <c r="K1358" s="318">
        <v>1481.420607</v>
      </c>
      <c r="L1358" s="318"/>
      <c r="M1358" s="341">
        <v>1529</v>
      </c>
      <c r="N1358" s="17"/>
      <c r="O1358" s="17"/>
      <c r="P1358" s="17"/>
      <c r="Q1358" s="17"/>
      <c r="R1358" s="17"/>
      <c r="S1358" s="341">
        <v>1529</v>
      </c>
      <c r="T1358" s="23"/>
      <c r="V1358" s="6">
        <f t="shared" si="257"/>
        <v>0</v>
      </c>
    </row>
    <row r="1359" spans="1:22" s="26" customFormat="1" ht="30">
      <c r="A1359" s="299">
        <v>39</v>
      </c>
      <c r="B1359" s="300" t="s">
        <v>2719</v>
      </c>
      <c r="C1359" s="339" t="s">
        <v>2607</v>
      </c>
      <c r="D1359" s="340" t="s">
        <v>31</v>
      </c>
      <c r="E1359" s="317" t="s">
        <v>112</v>
      </c>
      <c r="F1359" s="317" t="s">
        <v>2720</v>
      </c>
      <c r="G1359" s="318">
        <v>7999.8097600000001</v>
      </c>
      <c r="H1359" s="318"/>
      <c r="I1359" s="318"/>
      <c r="J1359" s="318"/>
      <c r="K1359" s="318">
        <v>7999.8097600000001</v>
      </c>
      <c r="L1359" s="318"/>
      <c r="M1359" s="341">
        <v>6510</v>
      </c>
      <c r="N1359" s="17"/>
      <c r="O1359" s="17"/>
      <c r="P1359" s="17"/>
      <c r="Q1359" s="17"/>
      <c r="R1359" s="17"/>
      <c r="S1359" s="341">
        <v>6510</v>
      </c>
      <c r="T1359" s="23"/>
      <c r="V1359" s="6">
        <f t="shared" si="257"/>
        <v>0</v>
      </c>
    </row>
    <row r="1360" spans="1:22" s="26" customFormat="1" ht="30">
      <c r="A1360" s="299">
        <v>40</v>
      </c>
      <c r="B1360" s="300" t="s">
        <v>2721</v>
      </c>
      <c r="C1360" s="339" t="s">
        <v>2607</v>
      </c>
      <c r="D1360" s="340" t="s">
        <v>31</v>
      </c>
      <c r="E1360" s="317" t="s">
        <v>112</v>
      </c>
      <c r="F1360" s="317" t="s">
        <v>2722</v>
      </c>
      <c r="G1360" s="318">
        <v>4524.3700849999996</v>
      </c>
      <c r="H1360" s="318"/>
      <c r="I1360" s="318"/>
      <c r="J1360" s="318"/>
      <c r="K1360" s="318">
        <v>4524.3700849999996</v>
      </c>
      <c r="L1360" s="318"/>
      <c r="M1360" s="341">
        <v>4243</v>
      </c>
      <c r="N1360" s="17"/>
      <c r="O1360" s="17"/>
      <c r="P1360" s="17"/>
      <c r="Q1360" s="17"/>
      <c r="R1360" s="17"/>
      <c r="S1360" s="341">
        <v>4243</v>
      </c>
      <c r="T1360" s="23"/>
      <c r="V1360" s="6">
        <f t="shared" si="257"/>
        <v>0</v>
      </c>
    </row>
    <row r="1361" spans="1:22" s="26" customFormat="1" ht="45">
      <c r="A1361" s="299">
        <v>41</v>
      </c>
      <c r="B1361" s="342" t="s">
        <v>2723</v>
      </c>
      <c r="C1361" s="339" t="s">
        <v>2607</v>
      </c>
      <c r="D1361" s="340" t="s">
        <v>31</v>
      </c>
      <c r="E1361" s="317" t="s">
        <v>55</v>
      </c>
      <c r="F1361" s="317" t="s">
        <v>2724</v>
      </c>
      <c r="G1361" s="318">
        <v>1774.2223469999999</v>
      </c>
      <c r="H1361" s="318"/>
      <c r="I1361" s="318"/>
      <c r="J1361" s="318"/>
      <c r="K1361" s="318">
        <v>1774.2223469999999</v>
      </c>
      <c r="L1361" s="318"/>
      <c r="M1361" s="341">
        <v>1600</v>
      </c>
      <c r="N1361" s="17"/>
      <c r="O1361" s="17"/>
      <c r="P1361" s="17"/>
      <c r="Q1361" s="17"/>
      <c r="R1361" s="17"/>
      <c r="S1361" s="341">
        <v>1600</v>
      </c>
      <c r="T1361" s="23"/>
      <c r="V1361" s="6">
        <f t="shared" si="257"/>
        <v>0</v>
      </c>
    </row>
    <row r="1362" spans="1:22" s="26" customFormat="1" ht="45">
      <c r="A1362" s="299">
        <v>42</v>
      </c>
      <c r="B1362" s="342" t="s">
        <v>2725</v>
      </c>
      <c r="C1362" s="339" t="s">
        <v>2663</v>
      </c>
      <c r="D1362" s="340" t="s">
        <v>31</v>
      </c>
      <c r="E1362" s="317" t="s">
        <v>55</v>
      </c>
      <c r="F1362" s="317" t="s">
        <v>2726</v>
      </c>
      <c r="G1362" s="318">
        <v>4290.1427510000003</v>
      </c>
      <c r="H1362" s="318"/>
      <c r="I1362" s="318"/>
      <c r="J1362" s="318"/>
      <c r="K1362" s="318">
        <v>4290.1427510000003</v>
      </c>
      <c r="L1362" s="318"/>
      <c r="M1362" s="341">
        <v>4000</v>
      </c>
      <c r="N1362" s="17"/>
      <c r="O1362" s="17"/>
      <c r="P1362" s="17"/>
      <c r="Q1362" s="17"/>
      <c r="R1362" s="17"/>
      <c r="S1362" s="341">
        <v>4000</v>
      </c>
      <c r="T1362" s="23"/>
      <c r="V1362" s="6">
        <f t="shared" si="257"/>
        <v>0</v>
      </c>
    </row>
    <row r="1363" spans="1:22" s="26" customFormat="1" ht="45">
      <c r="A1363" s="299">
        <v>43</v>
      </c>
      <c r="B1363" s="342" t="s">
        <v>2727</v>
      </c>
      <c r="C1363" s="339" t="s">
        <v>2607</v>
      </c>
      <c r="D1363" s="340" t="s">
        <v>31</v>
      </c>
      <c r="E1363" s="324" t="s">
        <v>1314</v>
      </c>
      <c r="F1363" s="317" t="s">
        <v>2728</v>
      </c>
      <c r="G1363" s="318">
        <v>1018.867808</v>
      </c>
      <c r="H1363" s="318"/>
      <c r="I1363" s="318"/>
      <c r="J1363" s="318"/>
      <c r="K1363" s="318">
        <v>1018.867808</v>
      </c>
      <c r="L1363" s="333"/>
      <c r="M1363" s="341">
        <v>1000</v>
      </c>
      <c r="N1363" s="17"/>
      <c r="O1363" s="17"/>
      <c r="P1363" s="17"/>
      <c r="Q1363" s="17"/>
      <c r="R1363" s="17"/>
      <c r="S1363" s="341">
        <v>1000</v>
      </c>
      <c r="T1363" s="23"/>
      <c r="V1363" s="6">
        <f t="shared" si="257"/>
        <v>0</v>
      </c>
    </row>
    <row r="1364" spans="1:22" s="26" customFormat="1" ht="39" customHeight="1">
      <c r="A1364" s="299">
        <v>44</v>
      </c>
      <c r="B1364" s="300" t="s">
        <v>2729</v>
      </c>
      <c r="C1364" s="343" t="s">
        <v>2622</v>
      </c>
      <c r="D1364" s="344" t="s">
        <v>31</v>
      </c>
      <c r="E1364" s="324" t="s">
        <v>2730</v>
      </c>
      <c r="F1364" s="333"/>
      <c r="G1364" s="333"/>
      <c r="H1364" s="333"/>
      <c r="I1364" s="333"/>
      <c r="J1364" s="333"/>
      <c r="K1364" s="333"/>
      <c r="L1364" s="333"/>
      <c r="M1364" s="345">
        <v>300</v>
      </c>
      <c r="N1364" s="17"/>
      <c r="O1364" s="17"/>
      <c r="P1364" s="17"/>
      <c r="Q1364" s="17"/>
      <c r="R1364" s="17"/>
      <c r="S1364" s="345">
        <v>300</v>
      </c>
      <c r="T1364" s="23"/>
      <c r="V1364" s="6">
        <f t="shared" ref="V1364:V1387" si="259">G1364-H1364-I1364-J1364-K1364</f>
        <v>0</v>
      </c>
    </row>
    <row r="1365" spans="1:22" s="26" customFormat="1" ht="30">
      <c r="A1365" s="299">
        <v>45</v>
      </c>
      <c r="B1365" s="346" t="s">
        <v>2731</v>
      </c>
      <c r="C1365" s="347" t="s">
        <v>2636</v>
      </c>
      <c r="D1365" s="348" t="s">
        <v>31</v>
      </c>
      <c r="E1365" s="317" t="s">
        <v>112</v>
      </c>
      <c r="F1365" s="317" t="s">
        <v>2732</v>
      </c>
      <c r="G1365" s="318">
        <v>918.27800000000002</v>
      </c>
      <c r="H1365" s="318"/>
      <c r="I1365" s="318"/>
      <c r="J1365" s="318"/>
      <c r="K1365" s="318">
        <v>918.27800000000002</v>
      </c>
      <c r="L1365" s="318"/>
      <c r="M1365" s="349">
        <v>849</v>
      </c>
      <c r="N1365" s="17"/>
      <c r="O1365" s="17"/>
      <c r="P1365" s="17"/>
      <c r="Q1365" s="17"/>
      <c r="R1365" s="17"/>
      <c r="S1365" s="349">
        <v>849</v>
      </c>
      <c r="T1365" s="23"/>
      <c r="V1365" s="6">
        <f t="shared" si="259"/>
        <v>0</v>
      </c>
    </row>
    <row r="1366" spans="1:22" s="26" customFormat="1" ht="30">
      <c r="A1366" s="299">
        <v>46</v>
      </c>
      <c r="B1366" s="346" t="s">
        <v>2733</v>
      </c>
      <c r="C1366" s="347" t="s">
        <v>2607</v>
      </c>
      <c r="D1366" s="348" t="s">
        <v>31</v>
      </c>
      <c r="E1366" s="317" t="s">
        <v>112</v>
      </c>
      <c r="F1366" s="317" t="s">
        <v>2734</v>
      </c>
      <c r="G1366" s="318">
        <v>1176.3391469999999</v>
      </c>
      <c r="H1366" s="318"/>
      <c r="I1366" s="318"/>
      <c r="J1366" s="318"/>
      <c r="K1366" s="318">
        <v>1176.3391469999999</v>
      </c>
      <c r="L1366" s="318"/>
      <c r="M1366" s="349">
        <v>1107</v>
      </c>
      <c r="N1366" s="17"/>
      <c r="O1366" s="17"/>
      <c r="P1366" s="17"/>
      <c r="Q1366" s="17"/>
      <c r="R1366" s="17"/>
      <c r="S1366" s="349">
        <v>1107</v>
      </c>
      <c r="T1366" s="23"/>
      <c r="V1366" s="6">
        <f t="shared" si="259"/>
        <v>0</v>
      </c>
    </row>
    <row r="1367" spans="1:22" s="26" customFormat="1" ht="30">
      <c r="A1367" s="299">
        <v>47</v>
      </c>
      <c r="B1367" s="346" t="s">
        <v>2735</v>
      </c>
      <c r="C1367" s="347" t="s">
        <v>2663</v>
      </c>
      <c r="D1367" s="348" t="s">
        <v>31</v>
      </c>
      <c r="E1367" s="317" t="s">
        <v>112</v>
      </c>
      <c r="F1367" s="317" t="s">
        <v>2736</v>
      </c>
      <c r="G1367" s="318">
        <v>1171.417005</v>
      </c>
      <c r="H1367" s="318"/>
      <c r="I1367" s="318"/>
      <c r="J1367" s="318"/>
      <c r="K1367" s="318">
        <v>1171.417005</v>
      </c>
      <c r="L1367" s="318"/>
      <c r="M1367" s="349">
        <v>1085</v>
      </c>
      <c r="N1367" s="17"/>
      <c r="O1367" s="17"/>
      <c r="P1367" s="17"/>
      <c r="Q1367" s="17"/>
      <c r="R1367" s="17"/>
      <c r="S1367" s="349">
        <v>1085</v>
      </c>
      <c r="T1367" s="23"/>
      <c r="V1367" s="6">
        <f t="shared" si="259"/>
        <v>0</v>
      </c>
    </row>
    <row r="1368" spans="1:22" s="26" customFormat="1" ht="30">
      <c r="A1368" s="299">
        <v>48</v>
      </c>
      <c r="B1368" s="300" t="s">
        <v>2737</v>
      </c>
      <c r="C1368" s="301" t="s">
        <v>2619</v>
      </c>
      <c r="D1368" s="302" t="s">
        <v>31</v>
      </c>
      <c r="E1368" s="317" t="s">
        <v>112</v>
      </c>
      <c r="F1368" s="317" t="s">
        <v>2738</v>
      </c>
      <c r="G1368" s="318">
        <v>11270.752767</v>
      </c>
      <c r="H1368" s="318"/>
      <c r="I1368" s="318"/>
      <c r="J1368" s="318"/>
      <c r="K1368" s="318">
        <v>11270.752767</v>
      </c>
      <c r="L1368" s="318"/>
      <c r="M1368" s="306">
        <v>10830</v>
      </c>
      <c r="N1368" s="17"/>
      <c r="O1368" s="17"/>
      <c r="P1368" s="17"/>
      <c r="Q1368" s="17"/>
      <c r="R1368" s="17"/>
      <c r="S1368" s="306">
        <v>10830</v>
      </c>
      <c r="T1368" s="23"/>
      <c r="V1368" s="6">
        <f t="shared" si="259"/>
        <v>0</v>
      </c>
    </row>
    <row r="1369" spans="1:22" s="26" customFormat="1" ht="30">
      <c r="A1369" s="299">
        <v>49</v>
      </c>
      <c r="B1369" s="300" t="s">
        <v>2739</v>
      </c>
      <c r="C1369" s="301" t="s">
        <v>2610</v>
      </c>
      <c r="D1369" s="302" t="s">
        <v>31</v>
      </c>
      <c r="E1369" s="317" t="s">
        <v>112</v>
      </c>
      <c r="F1369" s="317" t="s">
        <v>2740</v>
      </c>
      <c r="G1369" s="318">
        <v>12189.587007</v>
      </c>
      <c r="H1369" s="318"/>
      <c r="I1369" s="318"/>
      <c r="J1369" s="318"/>
      <c r="K1369" s="318">
        <v>12189.587007</v>
      </c>
      <c r="L1369" s="318"/>
      <c r="M1369" s="306">
        <v>11530</v>
      </c>
      <c r="N1369" s="17"/>
      <c r="O1369" s="17"/>
      <c r="P1369" s="17"/>
      <c r="Q1369" s="17"/>
      <c r="R1369" s="17"/>
      <c r="S1369" s="306">
        <v>11530</v>
      </c>
      <c r="T1369" s="23"/>
      <c r="V1369" s="6">
        <f t="shared" si="259"/>
        <v>0</v>
      </c>
    </row>
    <row r="1370" spans="1:22" s="26" customFormat="1" ht="30">
      <c r="A1370" s="299">
        <v>50</v>
      </c>
      <c r="B1370" s="300" t="s">
        <v>2741</v>
      </c>
      <c r="C1370" s="301" t="s">
        <v>2633</v>
      </c>
      <c r="D1370" s="302" t="s">
        <v>31</v>
      </c>
      <c r="E1370" s="317" t="s">
        <v>112</v>
      </c>
      <c r="F1370" s="317" t="s">
        <v>2742</v>
      </c>
      <c r="G1370" s="318">
        <v>10911.203497</v>
      </c>
      <c r="H1370" s="318"/>
      <c r="I1370" s="318"/>
      <c r="J1370" s="318"/>
      <c r="K1370" s="318">
        <v>10911.203497</v>
      </c>
      <c r="L1370" s="318"/>
      <c r="M1370" s="306">
        <v>10830</v>
      </c>
      <c r="N1370" s="17"/>
      <c r="O1370" s="17"/>
      <c r="P1370" s="17"/>
      <c r="Q1370" s="17"/>
      <c r="R1370" s="17"/>
      <c r="S1370" s="306">
        <v>10830</v>
      </c>
      <c r="T1370" s="23"/>
      <c r="V1370" s="6">
        <f t="shared" si="259"/>
        <v>0</v>
      </c>
    </row>
    <row r="1371" spans="1:22" s="26" customFormat="1" ht="30">
      <c r="A1371" s="299">
        <v>51</v>
      </c>
      <c r="B1371" s="350" t="s">
        <v>2743</v>
      </c>
      <c r="C1371" s="301" t="s">
        <v>2639</v>
      </c>
      <c r="D1371" s="302" t="s">
        <v>31</v>
      </c>
      <c r="E1371" s="303" t="s">
        <v>55</v>
      </c>
      <c r="F1371" s="303" t="s">
        <v>2744</v>
      </c>
      <c r="G1371" s="305">
        <f>K1371</f>
        <v>5849</v>
      </c>
      <c r="H1371" s="305"/>
      <c r="I1371" s="305"/>
      <c r="J1371" s="305"/>
      <c r="K1371" s="305">
        <v>5849</v>
      </c>
      <c r="L1371" s="305"/>
      <c r="M1371" s="306">
        <v>5409</v>
      </c>
      <c r="N1371" s="17"/>
      <c r="O1371" s="17"/>
      <c r="P1371" s="17"/>
      <c r="Q1371" s="17"/>
      <c r="R1371" s="17"/>
      <c r="S1371" s="306">
        <v>5409</v>
      </c>
      <c r="T1371" s="23"/>
      <c r="V1371" s="6">
        <f t="shared" si="259"/>
        <v>0</v>
      </c>
    </row>
    <row r="1372" spans="1:22" s="26" customFormat="1" ht="30">
      <c r="A1372" s="299">
        <v>52</v>
      </c>
      <c r="B1372" s="300" t="s">
        <v>2745</v>
      </c>
      <c r="C1372" s="301" t="s">
        <v>2613</v>
      </c>
      <c r="D1372" s="302" t="s">
        <v>31</v>
      </c>
      <c r="E1372" s="317" t="s">
        <v>112</v>
      </c>
      <c r="F1372" s="317" t="s">
        <v>2746</v>
      </c>
      <c r="G1372" s="318">
        <v>17178.793788999999</v>
      </c>
      <c r="H1372" s="318"/>
      <c r="I1372" s="318"/>
      <c r="J1372" s="318"/>
      <c r="K1372" s="318">
        <v>17178.793788999999</v>
      </c>
      <c r="L1372" s="318"/>
      <c r="M1372" s="306">
        <v>3030</v>
      </c>
      <c r="N1372" s="17"/>
      <c r="O1372" s="17"/>
      <c r="P1372" s="17"/>
      <c r="Q1372" s="17"/>
      <c r="R1372" s="17"/>
      <c r="S1372" s="306">
        <v>3030</v>
      </c>
      <c r="T1372" s="23"/>
      <c r="V1372" s="6">
        <f t="shared" si="259"/>
        <v>0</v>
      </c>
    </row>
    <row r="1373" spans="1:22" s="26" customFormat="1" ht="18.75" customHeight="1">
      <c r="A1373" s="313" t="s">
        <v>2592</v>
      </c>
      <c r="B1373" s="314" t="s">
        <v>2750</v>
      </c>
      <c r="C1373" s="310"/>
      <c r="D1373" s="311"/>
      <c r="E1373" s="311"/>
      <c r="F1373" s="312"/>
      <c r="G1373" s="312">
        <f t="shared" ref="G1373:L1373" si="260">SUM(G1374:G1377)</f>
        <v>14500</v>
      </c>
      <c r="H1373" s="312"/>
      <c r="I1373" s="312"/>
      <c r="J1373" s="312"/>
      <c r="K1373" s="312">
        <f t="shared" si="260"/>
        <v>14500</v>
      </c>
      <c r="L1373" s="312">
        <f t="shared" si="260"/>
        <v>0</v>
      </c>
      <c r="M1373" s="312">
        <f>SUM(M1374:M1377)</f>
        <v>530</v>
      </c>
      <c r="N1373" s="17"/>
      <c r="O1373" s="17"/>
      <c r="P1373" s="17"/>
      <c r="Q1373" s="17"/>
      <c r="R1373" s="17"/>
      <c r="S1373" s="312">
        <f>SUM(S1374:S1377)</f>
        <v>530</v>
      </c>
      <c r="T1373" s="23"/>
      <c r="V1373" s="6">
        <f t="shared" si="259"/>
        <v>0</v>
      </c>
    </row>
    <row r="1374" spans="1:22" s="26" customFormat="1" ht="30">
      <c r="A1374" s="351">
        <v>1</v>
      </c>
      <c r="B1374" s="300" t="s">
        <v>2751</v>
      </c>
      <c r="C1374" s="352" t="s">
        <v>2639</v>
      </c>
      <c r="D1374" s="353" t="s">
        <v>31</v>
      </c>
      <c r="E1374" s="303" t="s">
        <v>414</v>
      </c>
      <c r="F1374" s="308" t="s">
        <v>2752</v>
      </c>
      <c r="G1374" s="332">
        <v>10000</v>
      </c>
      <c r="H1374" s="332"/>
      <c r="I1374" s="332"/>
      <c r="J1374" s="332"/>
      <c r="K1374" s="332">
        <v>10000</v>
      </c>
      <c r="L1374" s="333"/>
      <c r="M1374" s="354">
        <v>500</v>
      </c>
      <c r="N1374" s="17"/>
      <c r="O1374" s="17"/>
      <c r="P1374" s="17"/>
      <c r="Q1374" s="17"/>
      <c r="R1374" s="17"/>
      <c r="S1374" s="354">
        <v>500</v>
      </c>
      <c r="T1374" s="23"/>
      <c r="V1374" s="6">
        <f t="shared" si="259"/>
        <v>0</v>
      </c>
    </row>
    <row r="1375" spans="1:22" s="26" customFormat="1" ht="30">
      <c r="A1375" s="351">
        <v>2</v>
      </c>
      <c r="B1375" s="300" t="s">
        <v>2753</v>
      </c>
      <c r="C1375" s="336" t="s">
        <v>2628</v>
      </c>
      <c r="D1375" s="337" t="s">
        <v>31</v>
      </c>
      <c r="E1375" s="303" t="s">
        <v>1314</v>
      </c>
      <c r="F1375" s="308" t="s">
        <v>2754</v>
      </c>
      <c r="G1375" s="332">
        <v>1500</v>
      </c>
      <c r="H1375" s="332"/>
      <c r="I1375" s="332"/>
      <c r="J1375" s="332"/>
      <c r="K1375" s="332">
        <v>1500</v>
      </c>
      <c r="L1375" s="333"/>
      <c r="M1375" s="338">
        <v>10</v>
      </c>
      <c r="N1375" s="17"/>
      <c r="O1375" s="17"/>
      <c r="P1375" s="17"/>
      <c r="Q1375" s="17"/>
      <c r="R1375" s="17"/>
      <c r="S1375" s="338">
        <v>10</v>
      </c>
      <c r="T1375" s="23"/>
      <c r="V1375" s="6">
        <f t="shared" si="259"/>
        <v>0</v>
      </c>
    </row>
    <row r="1376" spans="1:22" s="26" customFormat="1" ht="30">
      <c r="A1376" s="351">
        <v>3</v>
      </c>
      <c r="B1376" s="300" t="s">
        <v>2755</v>
      </c>
      <c r="C1376" s="336" t="s">
        <v>2625</v>
      </c>
      <c r="D1376" s="337" t="s">
        <v>31</v>
      </c>
      <c r="E1376" s="303" t="s">
        <v>1314</v>
      </c>
      <c r="F1376" s="308" t="s">
        <v>2756</v>
      </c>
      <c r="G1376" s="332">
        <v>1500</v>
      </c>
      <c r="H1376" s="332"/>
      <c r="I1376" s="332"/>
      <c r="J1376" s="332"/>
      <c r="K1376" s="332">
        <v>1500</v>
      </c>
      <c r="L1376" s="333"/>
      <c r="M1376" s="338">
        <v>10</v>
      </c>
      <c r="N1376" s="17"/>
      <c r="O1376" s="17"/>
      <c r="P1376" s="17"/>
      <c r="Q1376" s="17"/>
      <c r="R1376" s="17"/>
      <c r="S1376" s="338">
        <v>10</v>
      </c>
      <c r="T1376" s="23"/>
      <c r="V1376" s="6">
        <f t="shared" si="259"/>
        <v>0</v>
      </c>
    </row>
    <row r="1377" spans="1:22" s="26" customFormat="1" ht="30">
      <c r="A1377" s="351">
        <v>4</v>
      </c>
      <c r="B1377" s="300" t="s">
        <v>2757</v>
      </c>
      <c r="C1377" s="336" t="s">
        <v>2619</v>
      </c>
      <c r="D1377" s="337" t="s">
        <v>31</v>
      </c>
      <c r="E1377" s="303" t="s">
        <v>1314</v>
      </c>
      <c r="F1377" s="308" t="s">
        <v>2758</v>
      </c>
      <c r="G1377" s="332">
        <v>1500</v>
      </c>
      <c r="H1377" s="332"/>
      <c r="I1377" s="332"/>
      <c r="J1377" s="332"/>
      <c r="K1377" s="332">
        <v>1500</v>
      </c>
      <c r="L1377" s="333"/>
      <c r="M1377" s="338">
        <v>10</v>
      </c>
      <c r="N1377" s="17"/>
      <c r="O1377" s="17"/>
      <c r="P1377" s="17"/>
      <c r="Q1377" s="17"/>
      <c r="R1377" s="17"/>
      <c r="S1377" s="338">
        <v>10</v>
      </c>
      <c r="T1377" s="23"/>
      <c r="V1377" s="6">
        <f t="shared" si="259"/>
        <v>0</v>
      </c>
    </row>
    <row r="1378" spans="1:22" ht="41.25" customHeight="1">
      <c r="A1378" s="199" t="s">
        <v>2759</v>
      </c>
      <c r="B1378" s="467" t="s">
        <v>2760</v>
      </c>
      <c r="C1378" s="29"/>
      <c r="D1378" s="29"/>
      <c r="E1378" s="29"/>
      <c r="F1378" s="58"/>
      <c r="G1378" s="58"/>
      <c r="H1378" s="58"/>
      <c r="I1378" s="58"/>
      <c r="J1378" s="58"/>
      <c r="K1378" s="58"/>
      <c r="L1378" s="49"/>
      <c r="M1378" s="48">
        <f>SUM(M1379:M1387)</f>
        <v>3467878.5947000002</v>
      </c>
      <c r="N1378" s="49"/>
      <c r="O1378" s="49"/>
      <c r="P1378" s="49"/>
      <c r="Q1378" s="49"/>
      <c r="R1378" s="49"/>
      <c r="S1378" s="48">
        <f t="shared" ref="S1378" si="261">SUM(S1379:S1387)</f>
        <v>3467878.5947000002</v>
      </c>
      <c r="T1378" s="50"/>
      <c r="V1378" s="6">
        <f t="shared" si="259"/>
        <v>0</v>
      </c>
    </row>
    <row r="1379" spans="1:22" ht="30.75" customHeight="1">
      <c r="A1379" s="204">
        <v>1</v>
      </c>
      <c r="B1379" s="355" t="s">
        <v>2761</v>
      </c>
      <c r="C1379" s="13"/>
      <c r="D1379" s="13"/>
      <c r="E1379" s="13"/>
      <c r="F1379" s="13"/>
      <c r="G1379" s="13"/>
      <c r="H1379" s="13"/>
      <c r="I1379" s="13"/>
      <c r="J1379" s="13"/>
      <c r="K1379" s="13"/>
      <c r="L1379" s="13"/>
      <c r="M1379" s="263">
        <f t="shared" ref="M1379:M1387" si="262">SUM(N1379:S1379)</f>
        <v>395544.98569999996</v>
      </c>
      <c r="N1379" s="129"/>
      <c r="O1379" s="129"/>
      <c r="P1379" s="129"/>
      <c r="Q1379" s="129"/>
      <c r="R1379" s="129"/>
      <c r="S1379" s="263">
        <f>1215000+62529-S513-S502</f>
        <v>395544.98569999996</v>
      </c>
      <c r="T1379" s="37"/>
      <c r="V1379" s="6">
        <f t="shared" si="259"/>
        <v>0</v>
      </c>
    </row>
    <row r="1380" spans="1:22" ht="30">
      <c r="A1380" s="204">
        <v>2</v>
      </c>
      <c r="B1380" s="253" t="s">
        <v>2762</v>
      </c>
      <c r="C1380" s="13"/>
      <c r="D1380" s="13"/>
      <c r="E1380" s="13"/>
      <c r="F1380" s="13"/>
      <c r="G1380" s="13"/>
      <c r="H1380" s="13"/>
      <c r="I1380" s="13"/>
      <c r="J1380" s="13"/>
      <c r="K1380" s="13"/>
      <c r="L1380" s="13"/>
      <c r="M1380" s="263">
        <f t="shared" si="262"/>
        <v>392841</v>
      </c>
      <c r="N1380" s="129"/>
      <c r="O1380" s="129"/>
      <c r="P1380" s="129"/>
      <c r="Q1380" s="129"/>
      <c r="R1380" s="129"/>
      <c r="S1380" s="263">
        <f>857120-S684-S503</f>
        <v>392841</v>
      </c>
      <c r="T1380" s="37"/>
      <c r="V1380" s="6">
        <f t="shared" si="259"/>
        <v>0</v>
      </c>
    </row>
    <row r="1381" spans="1:22" ht="30">
      <c r="A1381" s="204">
        <v>3</v>
      </c>
      <c r="B1381" s="253" t="s">
        <v>2763</v>
      </c>
      <c r="C1381" s="13"/>
      <c r="D1381" s="13"/>
      <c r="E1381" s="13"/>
      <c r="F1381" s="13"/>
      <c r="G1381" s="13"/>
      <c r="H1381" s="13"/>
      <c r="I1381" s="13"/>
      <c r="J1381" s="13"/>
      <c r="K1381" s="13"/>
      <c r="L1381" s="13"/>
      <c r="M1381" s="263">
        <f t="shared" si="262"/>
        <v>292012</v>
      </c>
      <c r="N1381" s="129"/>
      <c r="O1381" s="129"/>
      <c r="P1381" s="129"/>
      <c r="Q1381" s="129"/>
      <c r="R1381" s="129"/>
      <c r="S1381" s="263">
        <f>792814-S710</f>
        <v>292012</v>
      </c>
      <c r="T1381" s="37"/>
      <c r="V1381" s="6">
        <f t="shared" si="259"/>
        <v>0</v>
      </c>
    </row>
    <row r="1382" spans="1:22" ht="30">
      <c r="A1382" s="204">
        <v>4</v>
      </c>
      <c r="B1382" s="253" t="s">
        <v>2764</v>
      </c>
      <c r="C1382" s="13"/>
      <c r="D1382" s="13"/>
      <c r="E1382" s="13"/>
      <c r="F1382" s="13"/>
      <c r="G1382" s="13"/>
      <c r="H1382" s="13"/>
      <c r="I1382" s="13"/>
      <c r="J1382" s="13"/>
      <c r="K1382" s="13"/>
      <c r="L1382" s="13"/>
      <c r="M1382" s="512">
        <f t="shared" si="262"/>
        <v>350205.4</v>
      </c>
      <c r="N1382" s="239"/>
      <c r="O1382" s="239"/>
      <c r="P1382" s="239"/>
      <c r="Q1382" s="239"/>
      <c r="R1382" s="239"/>
      <c r="S1382" s="512">
        <f>943170-S754-S504</f>
        <v>350205.4</v>
      </c>
      <c r="T1382" s="37"/>
      <c r="V1382" s="6">
        <f t="shared" si="259"/>
        <v>0</v>
      </c>
    </row>
    <row r="1383" spans="1:22" ht="30">
      <c r="A1383" s="204">
        <v>5</v>
      </c>
      <c r="B1383" s="253" t="s">
        <v>2765</v>
      </c>
      <c r="C1383" s="13"/>
      <c r="D1383" s="13"/>
      <c r="E1383" s="13"/>
      <c r="F1383" s="13"/>
      <c r="G1383" s="13"/>
      <c r="H1383" s="13"/>
      <c r="I1383" s="13"/>
      <c r="J1383" s="13"/>
      <c r="K1383" s="13"/>
      <c r="L1383" s="13"/>
      <c r="M1383" s="512">
        <f t="shared" si="262"/>
        <v>234431</v>
      </c>
      <c r="N1383" s="239"/>
      <c r="O1383" s="239"/>
      <c r="P1383" s="239"/>
      <c r="Q1383" s="239"/>
      <c r="R1383" s="239"/>
      <c r="S1383" s="512">
        <f>996761-S863-S506</f>
        <v>234431</v>
      </c>
      <c r="T1383" s="37"/>
      <c r="V1383" s="6">
        <f t="shared" si="259"/>
        <v>0</v>
      </c>
    </row>
    <row r="1384" spans="1:22" ht="30">
      <c r="A1384" s="204">
        <v>6</v>
      </c>
      <c r="B1384" s="253" t="s">
        <v>2766</v>
      </c>
      <c r="C1384" s="13"/>
      <c r="D1384" s="13"/>
      <c r="E1384" s="13"/>
      <c r="F1384" s="13"/>
      <c r="G1384" s="13"/>
      <c r="H1384" s="13"/>
      <c r="I1384" s="13"/>
      <c r="J1384" s="13"/>
      <c r="K1384" s="13"/>
      <c r="L1384" s="13"/>
      <c r="M1384" s="263">
        <f t="shared" si="262"/>
        <v>313845</v>
      </c>
      <c r="N1384" s="129"/>
      <c r="O1384" s="129"/>
      <c r="P1384" s="129"/>
      <c r="Q1384" s="129"/>
      <c r="R1384" s="129"/>
      <c r="S1384" s="263">
        <f>769677-S1013-S507-S511</f>
        <v>313845</v>
      </c>
      <c r="T1384" s="37"/>
      <c r="V1384" s="6">
        <f t="shared" si="259"/>
        <v>0</v>
      </c>
    </row>
    <row r="1385" spans="1:22" ht="30">
      <c r="A1385" s="204">
        <v>7</v>
      </c>
      <c r="B1385" s="253" t="s">
        <v>2767</v>
      </c>
      <c r="C1385" s="296"/>
      <c r="D1385" s="296"/>
      <c r="E1385" s="296"/>
      <c r="F1385" s="296"/>
      <c r="G1385" s="296"/>
      <c r="H1385" s="296"/>
      <c r="I1385" s="296"/>
      <c r="J1385" s="296"/>
      <c r="K1385" s="296"/>
      <c r="L1385" s="296"/>
      <c r="M1385" s="263">
        <f t="shared" si="262"/>
        <v>545275</v>
      </c>
      <c r="N1385" s="297"/>
      <c r="O1385" s="297"/>
      <c r="P1385" s="297"/>
      <c r="Q1385" s="297"/>
      <c r="R1385" s="297"/>
      <c r="S1385" s="263">
        <f>1004167-S1135-S510</f>
        <v>545275</v>
      </c>
      <c r="T1385" s="279"/>
      <c r="V1385" s="6">
        <f t="shared" si="259"/>
        <v>0</v>
      </c>
    </row>
    <row r="1386" spans="1:22" ht="31.5" customHeight="1">
      <c r="A1386" s="204">
        <v>8</v>
      </c>
      <c r="B1386" s="253" t="s">
        <v>2768</v>
      </c>
      <c r="C1386" s="13"/>
      <c r="D1386" s="13"/>
      <c r="E1386" s="13"/>
      <c r="F1386" s="13"/>
      <c r="G1386" s="13"/>
      <c r="H1386" s="13"/>
      <c r="I1386" s="13"/>
      <c r="J1386" s="13"/>
      <c r="K1386" s="13"/>
      <c r="L1386" s="13"/>
      <c r="M1386" s="263">
        <f t="shared" si="262"/>
        <v>539001.20900000003</v>
      </c>
      <c r="N1386" s="14"/>
      <c r="O1386" s="14"/>
      <c r="P1386" s="14"/>
      <c r="Q1386" s="14"/>
      <c r="R1386" s="14"/>
      <c r="S1386" s="263">
        <f>1136645-S1199-S505</f>
        <v>539001.20900000003</v>
      </c>
      <c r="T1386" s="37"/>
      <c r="V1386" s="6">
        <f t="shared" si="259"/>
        <v>0</v>
      </c>
    </row>
    <row r="1387" spans="1:22" ht="30">
      <c r="A1387" s="204">
        <v>9</v>
      </c>
      <c r="B1387" s="253" t="s">
        <v>2769</v>
      </c>
      <c r="C1387" s="13"/>
      <c r="D1387" s="13"/>
      <c r="E1387" s="13"/>
      <c r="F1387" s="13"/>
      <c r="G1387" s="13"/>
      <c r="H1387" s="13"/>
      <c r="I1387" s="13"/>
      <c r="J1387" s="13"/>
      <c r="K1387" s="13"/>
      <c r="L1387" s="13"/>
      <c r="M1387" s="236">
        <f t="shared" si="262"/>
        <v>404723</v>
      </c>
      <c r="N1387" s="25"/>
      <c r="O1387" s="25"/>
      <c r="P1387" s="25"/>
      <c r="Q1387" s="25"/>
      <c r="R1387" s="25"/>
      <c r="S1387" s="236">
        <f>1024117-S1303-S508-S512</f>
        <v>404723</v>
      </c>
      <c r="T1387" s="37"/>
      <c r="V1387" s="6">
        <f t="shared" si="259"/>
        <v>0</v>
      </c>
    </row>
  </sheetData>
  <mergeCells count="30">
    <mergeCell ref="A1:T1"/>
    <mergeCell ref="A2:T2"/>
    <mergeCell ref="A3:S3"/>
    <mergeCell ref="S5:T5"/>
    <mergeCell ref="A6:A10"/>
    <mergeCell ref="B6:B10"/>
    <mergeCell ref="C6:C10"/>
    <mergeCell ref="D6:D10"/>
    <mergeCell ref="E6:E10"/>
    <mergeCell ref="F6:K6"/>
    <mergeCell ref="T6:T10"/>
    <mergeCell ref="F7:F10"/>
    <mergeCell ref="G7:K7"/>
    <mergeCell ref="G8:G10"/>
    <mergeCell ref="H8:I8"/>
    <mergeCell ref="J8:J10"/>
    <mergeCell ref="H9:H10"/>
    <mergeCell ref="I9:I10"/>
    <mergeCell ref="N9:N10"/>
    <mergeCell ref="O9:O10"/>
    <mergeCell ref="P9:P10"/>
    <mergeCell ref="L6:L10"/>
    <mergeCell ref="M6:M10"/>
    <mergeCell ref="N6:S7"/>
    <mergeCell ref="K8:K10"/>
    <mergeCell ref="N8:O8"/>
    <mergeCell ref="P8:Q8"/>
    <mergeCell ref="R8:R10"/>
    <mergeCell ref="S8:S10"/>
    <mergeCell ref="Q9:Q10"/>
  </mergeCells>
  <conditionalFormatting sqref="B54:B75">
    <cfRule type="duplicateValues" dxfId="11" priority="5"/>
  </conditionalFormatting>
  <conditionalFormatting sqref="B131:B142">
    <cfRule type="duplicateValues" dxfId="10" priority="4"/>
  </conditionalFormatting>
  <conditionalFormatting sqref="B848">
    <cfRule type="duplicateValues" dxfId="9" priority="6" stopIfTrue="1"/>
    <cfRule type="duplicateValues" dxfId="8" priority="7" stopIfTrue="1"/>
  </conditionalFormatting>
  <conditionalFormatting sqref="B849">
    <cfRule type="duplicateValues" dxfId="7" priority="8" stopIfTrue="1"/>
    <cfRule type="duplicateValues" dxfId="6" priority="9" stopIfTrue="1"/>
  </conditionalFormatting>
  <conditionalFormatting sqref="B850">
    <cfRule type="duplicateValues" dxfId="5" priority="10" stopIfTrue="1"/>
    <cfRule type="duplicateValues" dxfId="4" priority="11" stopIfTrue="1"/>
  </conditionalFormatting>
  <conditionalFormatting sqref="B859:B861">
    <cfRule type="duplicateValues" dxfId="3" priority="12" stopIfTrue="1"/>
    <cfRule type="duplicateValues" dxfId="2" priority="13" stopIfTrue="1"/>
  </conditionalFormatting>
  <conditionalFormatting sqref="B862">
    <cfRule type="duplicateValues" dxfId="1" priority="14" stopIfTrue="1"/>
    <cfRule type="duplicateValues" dxfId="0" priority="15" stopIfTrue="1"/>
  </conditionalFormatting>
  <conditionalFormatting sqref="B1009">
    <cfRule type="duplicateValues" priority="1" stopIfTrue="1"/>
  </conditionalFormatting>
  <printOptions horizontalCentered="1" verticalCentered="1"/>
  <pageMargins left="0" right="0" top="0" bottom="0" header="0" footer="0"/>
  <pageSetup paperSize="9" scale="46" fitToHeight="0" orientation="landscape" r:id="rId1"/>
  <headerFooter>
    <oddFooter>&amp;C&amp;"Times New Roman,Regular"&amp;12&amp;P/13</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TH 2021-2025 (N,LV) 15,07 </vt:lpstr>
      <vt:lpstr>'TH 2021-2025 (N,LV) 15,07 '!Print_Area</vt:lpstr>
      <vt:lpstr>'TH 2021-2025 (N,LV) 15,07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2025-07-18T04:08:31Z</cp:lastPrinted>
  <dcterms:created xsi:type="dcterms:W3CDTF">2025-07-11T09:06:39Z</dcterms:created>
  <dcterms:modified xsi:type="dcterms:W3CDTF">2025-07-25T04:40:31Z</dcterms:modified>
</cp:coreProperties>
</file>